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3"/>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 name="Sheet1" sheetId="15" r:id="rId15"/>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_xlfn.COUNTIFS" hidden="1">#NAME?</definedName>
    <definedName name="_xlfn.SUMIFS" hidden="1">#NAME?</definedName>
    <definedName name="Nguyennhan">'[1]Nguyen_nhan'!$B$3:$B$16</definedName>
    <definedName name="_xlnm.Print_Area" localSheetId="12">'06'!$A$1:$S$121</definedName>
    <definedName name="_xlnm.Print_Area" localSheetId="13">'07'!$A$1:$T$120</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13.xml><?xml version="1.0" encoding="utf-8"?>
<comments xmlns="http://schemas.openxmlformats.org/spreadsheetml/2006/main">
  <authors>
    <author>IT DAK LAK</author>
  </authors>
  <commentList>
    <comment ref="H105" authorId="0">
      <text>
        <r>
          <rPr>
            <b/>
            <sz val="8"/>
            <rFont val="Tahoma"/>
            <family val="2"/>
          </rPr>
          <t>IT DAK LAK:</t>
        </r>
        <r>
          <rPr>
            <sz val="8"/>
            <rFont val="Tahoma"/>
            <family val="2"/>
          </rPr>
          <t xml:space="preserve">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<sst xmlns="http://schemas.openxmlformats.org/spreadsheetml/2006/main" count="1253" uniqueCount="600">
  <si>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</si>
  <si>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</si>
  <si>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</si>
  <si>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</si>
  <si>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</si>
  <si>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</si>
  <si>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</si>
  <si>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</si>
  <si>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</si>
  <si>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</si>
  <si>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</si>
  <si>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</si>
  <si>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</si>
  <si>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</si>
  <si>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</si>
  <si>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</si>
  <si>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</si>
  <si>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</si>
  <si>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</si>
  <si>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</si>
  <si>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</si>
  <si>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</si>
  <si>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</si>
  <si>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</si>
  <si>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</si>
  <si>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</si>
  <si>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</si>
  <si>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</si>
  <si>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</si>
  <si>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</si>
  <si>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</si>
  <si>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</si>
  <si>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</si>
  <si>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</si>
  <si>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</si>
  <si>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</si>
  <si>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</si>
  <si>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</si>
  <si>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</si>
  <si>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</si>
  <si>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</si>
  <si>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</si>
  <si>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</si>
  <si>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</si>
  <si>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</si>
  <si>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</si>
  <si>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</si>
  <si>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</si>
  <si>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</si>
  <si>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</si>
  <si>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</si>
  <si>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</si>
  <si>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</si>
  <si>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</si>
  <si>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</si>
  <si>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</si>
  <si>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</si>
  <si>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</si>
  <si>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</si>
  <si>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</si>
  <si>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</si>
  <si>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</si>
  <si>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</si>
  <si>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</si>
  <si>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</si>
  <si>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</si>
  <si>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</si>
  <si>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</si>
  <si>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</si>
  <si>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</si>
  <si>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</si>
  <si>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</si>
  <si>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</si>
  <si>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</si>
  <si>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</si>
  <si>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</si>
  <si>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</si>
  <si>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</si>
  <si>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</si>
  <si>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</si>
  <si>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</si>
  <si>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</si>
  <si>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</si>
  <si>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</si>
  <si>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</si>
  <si>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</si>
  <si>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</si>
  <si>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</si>
  <si>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</si>
  <si>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</si>
  <si>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</si>
  <si>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</si>
  <si>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</si>
  <si>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</si>
  <si>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</si>
  <si>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</si>
  <si>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</si>
  <si>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</si>
  <si>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</si>
  <si>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</si>
  <si>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</si>
  <si>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</si>
  <si>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</si>
  <si>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</si>
  <si>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</si>
  <si>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</si>
  <si>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</si>
  <si>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</si>
  <si>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</si>
  <si>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</si>
  <si>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</si>
  <si>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4.1</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</si>
  <si>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</si>
  <si>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</si>
  <si>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</si>
  <si>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</si>
  <si>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</si>
  <si>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</si>
  <si>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</si>
  <si>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</si>
  <si>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</si>
  <si>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</si>
  <si>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</si>
  <si>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</si>
  <si>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</si>
  <si>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</si>
  <si>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</si>
  <si>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</si>
  <si>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</si>
  <si>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</si>
  <si>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</si>
  <si>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</si>
  <si>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</si>
  <si>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</si>
  <si>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</si>
  <si>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</si>
  <si>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</si>
  <si>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</si>
  <si>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</si>
  <si>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</si>
  <si>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</si>
  <si>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</si>
  <si>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</si>
  <si>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</si>
  <si>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</si>
  <si>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</si>
  <si>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</si>
  <si>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</si>
  <si>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</si>
  <si>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</si>
  <si>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</si>
  <si>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</si>
  <si>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</si>
  <si>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</si>
  <si>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</si>
  <si>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</si>
  <si>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</si>
  <si>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</si>
  <si>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</si>
  <si>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</si>
  <si>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</si>
  <si>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</si>
  <si>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</si>
  <si>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</si>
  <si>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</si>
  <si>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</si>
  <si>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</si>
  <si>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</si>
  <si>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</si>
  <si>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</si>
  <si>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</si>
  <si>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</si>
  <si>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</si>
  <si>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</si>
  <si>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</si>
  <si>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</si>
  <si>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</si>
  <si>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</si>
  <si>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</si>
  <si>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</si>
  <si>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</si>
  <si>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</si>
  <si>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</si>
  <si>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</si>
  <si>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</si>
  <si>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</si>
  <si>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</si>
  <si>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</si>
  <si>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</si>
  <si>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</si>
  <si>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</si>
  <si>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</si>
  <si>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</si>
  <si>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</si>
  <si>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</si>
  <si>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</si>
  <si>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</si>
  <si>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</si>
  <si>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</si>
  <si>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</si>
  <si>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</si>
  <si>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</si>
  <si>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</si>
  <si>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</si>
  <si>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</si>
  <si>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</si>
  <si>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</si>
  <si>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</si>
  <si>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</si>
  <si>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</si>
  <si>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</si>
  <si>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</si>
  <si>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</si>
  <si>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</si>
  <si>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</si>
  <si>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</si>
  <si>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</si>
  <si>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</si>
  <si>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</si>
  <si>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</si>
  <si>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</si>
  <si>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</si>
  <si>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</si>
  <si>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</si>
  <si>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</si>
  <si>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</si>
  <si>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</si>
  <si>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</si>
  <si>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</si>
  <si>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</si>
  <si>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</si>
  <si>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</si>
  <si>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</si>
  <si>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</si>
  <si>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</si>
  <si>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</si>
  <si>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</si>
  <si>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</si>
  <si>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</si>
  <si>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</si>
  <si>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</si>
  <si>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</si>
  <si>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</si>
  <si>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</si>
  <si>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</si>
  <si>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</si>
  <si>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</si>
  <si>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</si>
  <si>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</si>
  <si>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</si>
  <si>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</si>
  <si>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</si>
  <si>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</si>
  <si>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</si>
  <si>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</si>
  <si>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</si>
  <si>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</si>
  <si>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</si>
  <si>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</si>
  <si>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</si>
  <si>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</si>
  <si>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</si>
  <si>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</si>
  <si>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</si>
  <si>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</si>
  <si>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</si>
  <si>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</si>
  <si>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</si>
  <si>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</si>
  <si>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</si>
  <si>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</si>
  <si>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</si>
  <si>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</si>
  <si>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</si>
  <si>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</si>
  <si>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</si>
  <si>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</si>
  <si>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</si>
  <si>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</si>
  <si>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</si>
  <si>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</si>
  <si>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</si>
  <si>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</si>
  <si>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</si>
  <si>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</si>
  <si>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</si>
  <si>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</si>
  <si>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</si>
  <si>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</si>
  <si>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</si>
  <si>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</si>
  <si>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</si>
  <si>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</si>
  <si>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</si>
  <si>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</si>
  <si>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</si>
  <si>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</si>
  <si>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</si>
  <si>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</si>
  <si>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</si>
  <si>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</si>
  <si>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</si>
  <si>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</si>
  <si>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</si>
  <si>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</si>
  <si>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</si>
  <si>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</si>
  <si>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</si>
  <si>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</si>
  <si>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</si>
  <si>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</si>
  <si>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</si>
  <si>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</si>
  <si>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</si>
  <si>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</si>
  <si>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</si>
  <si>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</si>
  <si>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</si>
  <si>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</si>
  <si>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</si>
  <si>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</si>
  <si>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</si>
  <si>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</si>
  <si>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</si>
  <si>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</si>
  <si>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</si>
  <si>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</si>
  <si>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</si>
  <si>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</si>
  <si>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</si>
  <si>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</si>
  <si>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</si>
  <si>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</si>
  <si>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</si>
  <si>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</si>
  <si>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</si>
  <si>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</si>
  <si>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</si>
  <si>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</si>
  <si>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</si>
  <si>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</si>
  <si>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</si>
  <si>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</si>
  <si>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</si>
  <si>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</si>
  <si>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</si>
  <si>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</si>
  <si>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</si>
  <si>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</si>
  <si>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</si>
  <si>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</si>
  <si>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</si>
  <si>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</si>
  <si>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</si>
  <si>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</si>
  <si>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</si>
  <si>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</si>
  <si>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</si>
  <si>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</si>
  <si>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</si>
  <si>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</si>
  <si>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</si>
  <si>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</si>
  <si>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</si>
  <si>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</si>
  <si>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</si>
  <si>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</si>
  <si>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</si>
  <si>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</si>
  <si>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</si>
  <si>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</si>
  <si>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</si>
  <si>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</si>
  <si>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</si>
  <si>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</si>
  <si>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</si>
  <si>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</si>
  <si>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</si>
  <si>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</si>
  <si>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</si>
  <si>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</si>
  <si>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</si>
  <si>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</si>
  <si>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</si>
  <si>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</si>
  <si>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</si>
  <si>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</si>
  <si>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</si>
  <si>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</si>
  <si>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</si>
  <si>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</si>
  <si>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</si>
  <si>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</si>
  <si>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</si>
  <si>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</si>
  <si>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</si>
  <si>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</si>
  <si>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</si>
  <si>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</si>
  <si>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</si>
  <si>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</si>
  <si>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</si>
  <si>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</si>
  <si>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</si>
  <si>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</si>
  <si>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</si>
  <si>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</si>
  <si>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</si>
  <si>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</si>
  <si>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</si>
  <si>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</si>
  <si>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</si>
  <si>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</si>
  <si>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</si>
  <si>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</si>
  <si>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</si>
  <si>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</si>
  <si>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</si>
  <si>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</si>
  <si>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</si>
  <si>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</si>
  <si>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</si>
  <si>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</si>
  <si>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</si>
  <si>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</si>
  <si>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1.9</t>
  </si>
  <si>
    <t xml:space="preserve">Đơn vị  báo cáo: </t>
  </si>
  <si>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</si>
  <si>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</si>
  <si>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</si>
  <si>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</si>
  <si>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</si>
  <si>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</si>
  <si>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</si>
  <si>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Nguyễn Thị Mai Hoa</t>
  </si>
  <si>
    <t>Trần Hồng Quang</t>
  </si>
  <si>
    <t>Phạm Tiến Binh</t>
  </si>
  <si>
    <t xml:space="preserve"> Bùi Văn Dũng</t>
  </si>
  <si>
    <t xml:space="preserve"> Quản Văn Đức </t>
  </si>
  <si>
    <t xml:space="preserve"> Lê Thị Liên</t>
  </si>
  <si>
    <t xml:space="preserve"> Phùng Trọng Nghĩa</t>
  </si>
  <si>
    <t>1.10</t>
  </si>
  <si>
    <t xml:space="preserve"> Bùi Quang Minh</t>
  </si>
  <si>
    <t>1.11</t>
  </si>
  <si>
    <t>Ngô Văn Hòa</t>
  </si>
  <si>
    <t>1.12</t>
  </si>
  <si>
    <t>1.13</t>
  </si>
  <si>
    <t>1.14</t>
  </si>
  <si>
    <t>Đinh Đức Quang</t>
  </si>
  <si>
    <t>1.15</t>
  </si>
  <si>
    <t xml:space="preserve"> Nguyễn Thị Mai Anh</t>
  </si>
  <si>
    <t>1.16</t>
  </si>
  <si>
    <t>Phan Thị Nhuyến</t>
  </si>
  <si>
    <t>1.17</t>
  </si>
  <si>
    <t>Lê Thị Minh Thúy</t>
  </si>
  <si>
    <t>Các Chi  cục THADS</t>
  </si>
  <si>
    <t xml:space="preserve"> H.An Dương</t>
  </si>
  <si>
    <t>Trần Quốc Lập</t>
  </si>
  <si>
    <t xml:space="preserve"> H.An Lão</t>
  </si>
  <si>
    <t xml:space="preserve"> Phạm Văn Hùng</t>
  </si>
  <si>
    <t>Vũ Văn Biên</t>
  </si>
  <si>
    <t xml:space="preserve"> Trịnh Duy Hưng </t>
  </si>
  <si>
    <t>Trần Mạnh Cường</t>
  </si>
  <si>
    <t>Q.Đồ Sơn</t>
  </si>
  <si>
    <t xml:space="preserve"> Mai Thị Hà</t>
  </si>
  <si>
    <t>Đàm Xuân Thủy</t>
  </si>
  <si>
    <t xml:space="preserve"> Lê Viết Thắng</t>
  </si>
  <si>
    <t xml:space="preserve"> H.Bạch Long Vĩ</t>
  </si>
  <si>
    <t>Trần Tăng Vấn</t>
  </si>
  <si>
    <t xml:space="preserve"> Q.Lê Chân</t>
  </si>
  <si>
    <t>Nguyễn Ngọc Hoàn</t>
  </si>
  <si>
    <t>Lương Duy Hiếu</t>
  </si>
  <si>
    <t>Đỗ Văn Thịnh</t>
  </si>
  <si>
    <t>5.4</t>
  </si>
  <si>
    <t>Phạm Thị Ngân Hoài</t>
  </si>
  <si>
    <t>5.5</t>
  </si>
  <si>
    <t>Vũ Thế Khương</t>
  </si>
  <si>
    <t>5.6</t>
  </si>
  <si>
    <t>Trần Thị Hương</t>
  </si>
  <si>
    <t>5.7</t>
  </si>
  <si>
    <t>Đỗ Thị Thanh Trà</t>
  </si>
  <si>
    <t xml:space="preserve"> Q.Hải An</t>
  </si>
  <si>
    <t xml:space="preserve"> Nguyễn Văn Lai</t>
  </si>
  <si>
    <t>Ng.Thị Ph.Thảo</t>
  </si>
  <si>
    <t>Trịnh Quang Khánh</t>
  </si>
  <si>
    <t xml:space="preserve"> Hoàng Thị Vân Anh</t>
  </si>
  <si>
    <t>Q. Hồng Bàng</t>
  </si>
  <si>
    <t>Nguyễn Tùng Ngọc</t>
  </si>
  <si>
    <t>Phạm Đăng Ngọc</t>
  </si>
  <si>
    <t>Nguyễn Trần Tuấn</t>
  </si>
  <si>
    <t>Nguyễn Thị Hiền</t>
  </si>
  <si>
    <t>Trần Kim Thoa</t>
  </si>
  <si>
    <t>Nguyễn Thị Quế</t>
  </si>
  <si>
    <t xml:space="preserve"> Q.Kiến An</t>
  </si>
  <si>
    <t>8.1</t>
  </si>
  <si>
    <t xml:space="preserve"> Phạm Văn Nhất</t>
  </si>
  <si>
    <t>8.2</t>
  </si>
  <si>
    <t xml:space="preserve"> Bùi Thị Mai</t>
  </si>
  <si>
    <t xml:space="preserve"> H.Kiến Thụy</t>
  </si>
  <si>
    <t>9.1</t>
  </si>
  <si>
    <t>CHV  Phạm Văn Vơ</t>
  </si>
  <si>
    <t>9.2</t>
  </si>
  <si>
    <t>CHV Trần Đại Sỹ</t>
  </si>
  <si>
    <t>9.3</t>
  </si>
  <si>
    <t>CHV  Đỗ Thị Thành</t>
  </si>
  <si>
    <t>Q.Ngô Quyền</t>
  </si>
  <si>
    <t>Nguyễn Trường Giang</t>
  </si>
  <si>
    <t>Phạm Văn Tú</t>
  </si>
  <si>
    <t>10.7</t>
  </si>
  <si>
    <t>Mai Thị Hoa</t>
  </si>
  <si>
    <t>10.8</t>
  </si>
  <si>
    <t>10.9</t>
  </si>
  <si>
    <t>Đoàn Thị Minh Châu</t>
  </si>
  <si>
    <t xml:space="preserve"> H.Cát Hải</t>
  </si>
  <si>
    <t>11.1</t>
  </si>
  <si>
    <t>Nguyễn Tiến Dược</t>
  </si>
  <si>
    <t>11.2</t>
  </si>
  <si>
    <t xml:space="preserve"> Hồ Anh Văn</t>
  </si>
  <si>
    <t>Phạm Thế Toàn</t>
  </si>
  <si>
    <t xml:space="preserve"> H.Tiên Lãng</t>
  </si>
  <si>
    <t xml:space="preserve"> Lê Văn Diên</t>
  </si>
  <si>
    <t xml:space="preserve"> H.Thủy Nguyên</t>
  </si>
  <si>
    <t xml:space="preserve"> Phạm Ngọc Phong</t>
  </si>
  <si>
    <t xml:space="preserve"> H.Vĩnh Bảo</t>
  </si>
  <si>
    <t>14.1</t>
  </si>
  <si>
    <t>Phạm Hồng Nguyện</t>
  </si>
  <si>
    <t>14.2</t>
  </si>
  <si>
    <t>Trần Minh Đức</t>
  </si>
  <si>
    <t xml:space="preserve"> Q.Dương Kinh</t>
  </si>
  <si>
    <t>Thái Bá Sức</t>
  </si>
  <si>
    <t>Lương Văn Lịch</t>
  </si>
  <si>
    <t>Hồng Bàng</t>
  </si>
  <si>
    <t>10.1</t>
  </si>
  <si>
    <t>10.3</t>
  </si>
  <si>
    <t>10.4</t>
  </si>
  <si>
    <t>10.5</t>
  </si>
  <si>
    <t>10.6</t>
  </si>
  <si>
    <t>Đơn vị nhận báo cáo: Tổng cục</t>
  </si>
  <si>
    <r>
      <t xml:space="preserve">Đơn vị nhận báo cáo: </t>
    </r>
    <r>
      <rPr>
        <sz val="12"/>
        <rFont val="Times New Roman"/>
        <family val="1"/>
      </rPr>
      <t>Tổng cục</t>
    </r>
  </si>
  <si>
    <t>Trần Thị Minh</t>
  </si>
  <si>
    <r>
      <t xml:space="preserve">CTHADS </t>
    </r>
    <r>
      <rPr>
        <sz val="12"/>
        <color indexed="10"/>
        <rFont val="Times New Roman"/>
        <family val="1"/>
      </rPr>
      <t>Hải Phòng</t>
    </r>
  </si>
  <si>
    <t xml:space="preserve">
PHÓ CỤC TRƯỞNG</t>
  </si>
  <si>
    <t>Bùi Đức Tiến</t>
  </si>
  <si>
    <t>0</t>
  </si>
  <si>
    <t>Hoàng Tiến Dũng</t>
  </si>
  <si>
    <t>Đỗ Khắc Oanh</t>
  </si>
  <si>
    <t>Đỗ Thị Thanh Thủy</t>
  </si>
  <si>
    <t>Nguyễn Trí Thành</t>
  </si>
  <si>
    <t>Bùi Mạnh Hùng</t>
  </si>
  <si>
    <t>Nguyễn Thị Thủy</t>
  </si>
  <si>
    <t>Phạm Thị Thu Hiền</t>
  </si>
  <si>
    <t>Hoàng Vân Anh</t>
  </si>
  <si>
    <t>8.3</t>
  </si>
  <si>
    <t>Lê Thị Tuyết Thanh</t>
  </si>
  <si>
    <t>Nguyễn Thanh Hải</t>
  </si>
  <si>
    <t>Nguyễn T Diệp Anh</t>
  </si>
  <si>
    <t>Lê Văn Thụy</t>
  </si>
  <si>
    <t>Lê Viết Thắng</t>
  </si>
  <si>
    <t xml:space="preserve"> Bùi Văn Châu</t>
  </si>
  <si>
    <t xml:space="preserve"> Tạ Văn Quảng</t>
  </si>
  <si>
    <t xml:space="preserve"> Nguyễn Thị Xuân Hoa</t>
  </si>
  <si>
    <t xml:space="preserve"> Hoàng Trọng Hiếu</t>
  </si>
  <si>
    <t>13.11</t>
  </si>
  <si>
    <t>Tô Anh Dũng</t>
  </si>
  <si>
    <t>Phạm Văn Phúc</t>
  </si>
  <si>
    <t>Lương Thanh Thủy</t>
  </si>
  <si>
    <t>7.1</t>
  </si>
  <si>
    <t>7.2</t>
  </si>
  <si>
    <t>7.3</t>
  </si>
  <si>
    <t>7.4</t>
  </si>
  <si>
    <t>7.5</t>
  </si>
  <si>
    <t>7.6</t>
  </si>
  <si>
    <t>6.1</t>
  </si>
  <si>
    <t>6.2</t>
  </si>
  <si>
    <t>6.3</t>
  </si>
  <si>
    <t>6.4</t>
  </si>
  <si>
    <t>6.5</t>
  </si>
  <si>
    <t>Nguyễn Phi Hùng</t>
  </si>
  <si>
    <t>Nguyễn Văn Lai</t>
  </si>
  <si>
    <t>Nguyễn T.P Thảo</t>
  </si>
  <si>
    <t>Nguyễn Văn Thảnh</t>
  </si>
  <si>
    <t>10.2</t>
  </si>
  <si>
    <t>Lê Văn Diên</t>
  </si>
  <si>
    <t>1.18</t>
  </si>
  <si>
    <t>Kiều T. Hạnh Nguyên</t>
  </si>
  <si>
    <t>120</t>
  </si>
  <si>
    <t>01</t>
  </si>
  <si>
    <t>67</t>
  </si>
  <si>
    <t>127</t>
  </si>
  <si>
    <t>19</t>
  </si>
  <si>
    <t>09</t>
  </si>
  <si>
    <t>70</t>
  </si>
  <si>
    <t xml:space="preserve"> Nguyễn Thế Mạnh</t>
  </si>
  <si>
    <t xml:space="preserve"> Đỗ Văn Hoàng</t>
  </si>
  <si>
    <t>Đinh Thị Quyên</t>
  </si>
  <si>
    <t xml:space="preserve"> Phùng Ngọc Huy</t>
  </si>
  <si>
    <r>
      <rPr>
        <sz val="12"/>
        <color indexed="10"/>
        <rFont val="Times New Roman"/>
        <family val="1"/>
      </rPr>
      <t xml:space="preserve">01 </t>
    </r>
    <r>
      <rPr>
        <sz val="12"/>
        <rFont val="Times New Roman"/>
        <family val="1"/>
      </rPr>
      <t>tháng / năm 2018</t>
    </r>
  </si>
  <si>
    <r>
      <t xml:space="preserve">Hải Phòng, ngày </t>
    </r>
    <r>
      <rPr>
        <sz val="12"/>
        <color indexed="10"/>
        <rFont val="Times New Roman"/>
        <family val="1"/>
      </rPr>
      <t>03</t>
    </r>
    <r>
      <rPr>
        <sz val="12"/>
        <rFont val="Times New Roman"/>
        <family val="1"/>
      </rPr>
      <t xml:space="preserve"> tháng </t>
    </r>
    <r>
      <rPr>
        <sz val="12"/>
        <color indexed="10"/>
        <rFont val="Times New Roman"/>
        <family val="1"/>
      </rPr>
      <t>11</t>
    </r>
    <r>
      <rPr>
        <sz val="12"/>
        <rFont val="Times New Roman"/>
        <family val="1"/>
      </rPr>
      <t xml:space="preserve"> năm 2018</t>
    </r>
  </si>
  <si>
    <t>01 tháng / năm 2018</t>
  </si>
  <si>
    <t>Hải Phòng, ngày 07 tháng 11 năm 2017</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</si>
</sst>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0;[Red]0"/>
    <numFmt numFmtId="212" formatCode="###\ ###\ ###"/>
    <numFmt numFmtId="213" formatCode="0_);\(0\)"/>
    <numFmt numFmtId="214" formatCode="###\ ###\ "/>
    <numFmt numFmtId="215" formatCode="#,##0.00;[Red]#,##0.00"/>
    <numFmt numFmtId="216" formatCode="0.0000%"/>
    <numFmt numFmtId="217" formatCode="_(* #,##0_);_(* \(#,##0\);_(* &quot;&quot;??_);_(@_)"/>
  </numFmts>
  <fonts count="148">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sz val="11"/>
      <color indexed="8"/>
      <name val="Calibri"/>
      <family val="2"/>
    </font>
    <font>
      <sz val="8"/>
      <color indexed="10"/>
      <name val="Times New Roman"/>
      <family val="1"/>
    </font>
    <font>
      <sz val="8"/>
      <name val="Arial Narrow"/>
      <family val="2"/>
    </font>
    <font>
      <b/>
      <sz val="8"/>
      <name val="Tahoma"/>
      <family val="2"/>
    </font>
    <font>
      <sz val="8"/>
      <name val="Tahoma"/>
      <family val="2"/>
    </font>
    <font>
      <sz val="8"/>
      <name val=".VnTime"/>
      <family val="2"/>
    </font>
    <font>
      <i/>
      <sz val="8"/>
      <color indexed="10"/>
      <name val="Times New Roman"/>
      <family val="1"/>
    </font>
    <font>
      <sz val="8"/>
      <color indexed="10"/>
      <name val=".VnTime"/>
      <family val="2"/>
    </font>
    <font>
      <sz val="8"/>
      <color indexed="10"/>
      <name val="Arial Narrow"/>
      <family val="2"/>
    </font>
    <font>
      <b/>
      <sz val="14"/>
      <color indexed="10"/>
      <name val="Times New Roman"/>
      <family val="1"/>
    </font>
    <font>
      <sz val="13"/>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8"/>
      <name val="Times New Roman"/>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double"/>
      <top style="thin"/>
      <bottom style="thin"/>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color indexed="63"/>
      </right>
      <top style="thin"/>
      <bottom style="thin"/>
    </border>
    <border>
      <left style="thin"/>
      <right style="thin"/>
      <top style="double"/>
      <bottom style="thin"/>
    </border>
    <border>
      <left>
        <color indexed="63"/>
      </left>
      <right>
        <color indexed="63"/>
      </right>
      <top>
        <color indexed="63"/>
      </top>
      <bottom style="double"/>
    </border>
    <border>
      <left style="double"/>
      <right style="thin"/>
      <top style="thin"/>
      <bottom style="thin"/>
    </border>
    <border>
      <left style="double"/>
      <right style="thin"/>
      <top style="double"/>
      <bottom style="thin"/>
    </border>
    <border>
      <left style="thin"/>
      <right style="double"/>
      <top style="double"/>
      <bottom style="thin"/>
    </border>
  </borders>
  <cellStyleXfs count="3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0"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30"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30"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30"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30"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30"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30"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30"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30"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30" fillId="1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30"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30"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31"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31" fillId="2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31"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3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31"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31"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31"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31"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31"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31" fillId="3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31" fillId="3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31"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32" fillId="3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33" fillId="37" borderId="1" applyNumberFormat="0" applyAlignment="0" applyProtection="0"/>
    <xf numFmtId="0" fontId="39" fillId="38" borderId="2" applyNumberFormat="0" applyAlignment="0" applyProtection="0"/>
    <xf numFmtId="0" fontId="39"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6" fillId="0" borderId="0" applyFont="0" applyFill="0" applyBorder="0" applyAlignment="0" applyProtection="0"/>
    <xf numFmtId="171" fontId="2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4" fillId="39" borderId="3" applyNumberFormat="0" applyAlignment="0" applyProtection="0"/>
    <xf numFmtId="0" fontId="40" fillId="40" borderId="4" applyNumberFormat="0" applyAlignment="0" applyProtection="0"/>
    <xf numFmtId="0" fontId="40" fillId="40" borderId="4" applyNumberFormat="0" applyAlignment="0" applyProtection="0"/>
    <xf numFmtId="0" fontId="135"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36" fillId="4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37"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138"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139"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39"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40" fillId="42" borderId="1" applyNumberFormat="0" applyAlignment="0" applyProtection="0"/>
    <xf numFmtId="0" fontId="46" fillId="9" borderId="2" applyNumberFormat="0" applyAlignment="0" applyProtection="0"/>
    <xf numFmtId="0" fontId="46" fillId="9" borderId="2" applyNumberFormat="0" applyAlignment="0" applyProtection="0"/>
    <xf numFmtId="0" fontId="141"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42" fillId="43"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45" borderId="13"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143" fillId="37" borderId="15" applyNumberFormat="0" applyAlignment="0" applyProtection="0"/>
    <xf numFmtId="0" fontId="49" fillId="38" borderId="16" applyNumberFormat="0" applyAlignment="0" applyProtection="0"/>
    <xf numFmtId="0" fontId="49" fillId="38"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0" fontId="144"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45"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146"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947">
    <xf numFmtId="0" fontId="0" fillId="0" borderId="0" xfId="0" applyAlignment="1">
      <alignment/>
    </xf>
    <xf numFmtId="49" fontId="0" fillId="0" borderId="0" xfId="0" applyNumberFormat="1" applyFill="1" applyAlignment="1">
      <alignment/>
    </xf>
    <xf numFmtId="49" fontId="9" fillId="0" borderId="0" xfId="93" applyNumberFormat="1" applyFont="1" applyBorder="1" applyAlignment="1">
      <alignment vertical="center"/>
    </xf>
    <xf numFmtId="49" fontId="9" fillId="0" borderId="19" xfId="93"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285" applyNumberFormat="1" applyFont="1" applyFill="1" applyBorder="1" applyAlignment="1" applyProtection="1">
      <alignment horizontal="center" vertical="center"/>
      <protection/>
    </xf>
    <xf numFmtId="49" fontId="0" fillId="47" borderId="0" xfId="287" applyNumberFormat="1" applyFont="1" applyFill="1" applyBorder="1" applyAlignment="1">
      <alignment horizontal="left"/>
      <protection/>
    </xf>
    <xf numFmtId="49" fontId="0" fillId="0" borderId="0" xfId="287" applyNumberFormat="1" applyFont="1">
      <alignment/>
      <protection/>
    </xf>
    <xf numFmtId="49" fontId="0" fillId="0" borderId="0" xfId="287" applyNumberFormat="1">
      <alignment/>
      <protection/>
    </xf>
    <xf numFmtId="49" fontId="0" fillId="0" borderId="0" xfId="287" applyNumberFormat="1" applyFont="1" applyAlignment="1">
      <alignment horizontal="left"/>
      <protection/>
    </xf>
    <xf numFmtId="49" fontId="0" fillId="0" borderId="0" xfId="287" applyNumberFormat="1" applyFont="1" applyBorder="1" applyAlignment="1">
      <alignment wrapText="1"/>
      <protection/>
    </xf>
    <xf numFmtId="49" fontId="15" fillId="0" borderId="0" xfId="287" applyNumberFormat="1" applyFont="1" applyAlignment="1">
      <alignment/>
      <protection/>
    </xf>
    <xf numFmtId="49" fontId="0" fillId="0" borderId="0" xfId="287" applyNumberFormat="1" applyFont="1" applyBorder="1" applyAlignment="1">
      <alignment horizontal="left" wrapText="1"/>
      <protection/>
    </xf>
    <xf numFmtId="49" fontId="18" fillId="0" borderId="0" xfId="287" applyNumberFormat="1" applyFont="1" applyAlignment="1">
      <alignment horizontal="left"/>
      <protection/>
    </xf>
    <xf numFmtId="49" fontId="0" fillId="0" borderId="0" xfId="287" applyNumberFormat="1" applyFont="1" applyFill="1" applyAlignment="1">
      <alignment/>
      <protection/>
    </xf>
    <xf numFmtId="49" fontId="0" fillId="0" borderId="0" xfId="287" applyNumberFormat="1" applyFont="1" applyFill="1" applyAlignment="1">
      <alignment horizontal="center"/>
      <protection/>
    </xf>
    <xf numFmtId="49" fontId="0" fillId="0" borderId="0" xfId="287" applyNumberFormat="1" applyFont="1" applyAlignment="1">
      <alignment horizontal="center"/>
      <protection/>
    </xf>
    <xf numFmtId="49" fontId="0" fillId="0" borderId="0" xfId="287" applyNumberFormat="1" applyFont="1" applyFill="1">
      <alignment/>
      <protection/>
    </xf>
    <xf numFmtId="49" fontId="13" fillId="47" borderId="22" xfId="287" applyNumberFormat="1" applyFont="1" applyFill="1" applyBorder="1" applyAlignment="1">
      <alignment/>
      <protection/>
    </xf>
    <xf numFmtId="49" fontId="7" fillId="0" borderId="20" xfId="287" applyNumberFormat="1" applyFont="1" applyFill="1" applyBorder="1" applyAlignment="1">
      <alignment horizontal="center" vertical="center" wrapText="1"/>
      <protection/>
    </xf>
    <xf numFmtId="49" fontId="53" fillId="48" borderId="20" xfId="287" applyNumberFormat="1" applyFont="1" applyFill="1" applyBorder="1" applyAlignment="1">
      <alignment horizontal="center"/>
      <protection/>
    </xf>
    <xf numFmtId="49" fontId="7" fillId="0" borderId="21" xfId="287" applyNumberFormat="1" applyFont="1" applyFill="1" applyBorder="1" applyAlignment="1">
      <alignment horizontal="center" vertical="center" wrapText="1"/>
      <protection/>
    </xf>
    <xf numFmtId="49" fontId="7" fillId="0" borderId="20" xfId="287" applyNumberFormat="1" applyFont="1" applyBorder="1" applyAlignment="1">
      <alignment horizontal="center" vertical="center" wrapText="1"/>
      <protection/>
    </xf>
    <xf numFmtId="49" fontId="54" fillId="0" borderId="20" xfId="287" applyNumberFormat="1" applyFont="1" applyFill="1" applyBorder="1" applyAlignment="1">
      <alignment horizontal="center" vertical="center" wrapText="1"/>
      <protection/>
    </xf>
    <xf numFmtId="49" fontId="18" fillId="0" borderId="20" xfId="287" applyNumberFormat="1" applyFont="1" applyBorder="1" applyAlignment="1">
      <alignment horizontal="center" vertical="center"/>
      <protection/>
    </xf>
    <xf numFmtId="3" fontId="0" fillId="0" borderId="20" xfId="287" applyNumberFormat="1" applyFont="1" applyBorder="1" applyAlignment="1">
      <alignment horizontal="center" vertical="center"/>
      <protection/>
    </xf>
    <xf numFmtId="3" fontId="0" fillId="0" borderId="20" xfId="287" applyNumberFormat="1" applyFont="1" applyBorder="1" applyAlignment="1">
      <alignment vertical="center"/>
      <protection/>
    </xf>
    <xf numFmtId="49" fontId="0" fillId="0" borderId="0" xfId="287" applyNumberFormat="1" applyAlignment="1">
      <alignment vertical="center"/>
      <protection/>
    </xf>
    <xf numFmtId="3" fontId="52" fillId="3" borderId="20" xfId="287" applyNumberFormat="1" applyFont="1" applyFill="1" applyBorder="1" applyAlignment="1">
      <alignment vertical="center"/>
      <protection/>
    </xf>
    <xf numFmtId="3" fontId="57" fillId="3" borderId="20" xfId="287" applyNumberFormat="1" applyFont="1" applyFill="1" applyBorder="1" applyAlignment="1">
      <alignment vertical="center"/>
      <protection/>
    </xf>
    <xf numFmtId="49" fontId="58" fillId="0" borderId="20" xfId="287" applyNumberFormat="1" applyFont="1" applyBorder="1" applyAlignment="1">
      <alignment horizontal="center" vertical="center"/>
      <protection/>
    </xf>
    <xf numFmtId="3" fontId="25" fillId="44" borderId="20" xfId="287" applyNumberFormat="1" applyFont="1" applyFill="1" applyBorder="1" applyAlignment="1">
      <alignment vertical="center"/>
      <protection/>
    </xf>
    <xf numFmtId="3" fontId="3" fillId="48" borderId="20" xfId="287" applyNumberFormat="1" applyFont="1" applyFill="1" applyBorder="1" applyAlignment="1">
      <alignment horizontal="center" vertical="center"/>
      <protection/>
    </xf>
    <xf numFmtId="3" fontId="3" fillId="48" borderId="20" xfId="287" applyNumberFormat="1" applyFont="1" applyFill="1" applyBorder="1" applyAlignment="1">
      <alignment vertical="center"/>
      <protection/>
    </xf>
    <xf numFmtId="49" fontId="7" fillId="44" borderId="20" xfId="287" applyNumberFormat="1" applyFont="1" applyFill="1" applyBorder="1" applyAlignment="1">
      <alignment horizontal="center" vertical="center"/>
      <protection/>
    </xf>
    <xf numFmtId="49" fontId="7" fillId="44" borderId="20" xfId="287" applyNumberFormat="1" applyFont="1" applyFill="1" applyBorder="1" applyAlignment="1">
      <alignment horizontal="left" vertical="center"/>
      <protection/>
    </xf>
    <xf numFmtId="3" fontId="28" fillId="48" borderId="20" xfId="287" applyNumberFormat="1" applyFont="1" applyFill="1" applyBorder="1" applyAlignment="1">
      <alignment vertical="center"/>
      <protection/>
    </xf>
    <xf numFmtId="3" fontId="28" fillId="0" borderId="20" xfId="287" applyNumberFormat="1" applyFont="1" applyFill="1" applyBorder="1" applyAlignment="1">
      <alignment vertical="center"/>
      <protection/>
    </xf>
    <xf numFmtId="9" fontId="0" fillId="0" borderId="0" xfId="300" applyFont="1" applyAlignment="1">
      <alignment vertical="center"/>
    </xf>
    <xf numFmtId="49" fontId="7" fillId="44" borderId="23" xfId="287" applyNumberFormat="1" applyFont="1" applyFill="1" applyBorder="1" applyAlignment="1">
      <alignment horizontal="center" vertical="center"/>
      <protection/>
    </xf>
    <xf numFmtId="3" fontId="25" fillId="44" borderId="20" xfId="287" applyNumberFormat="1" applyFont="1" applyFill="1" applyBorder="1" applyAlignment="1">
      <alignment vertical="center"/>
      <protection/>
    </xf>
    <xf numFmtId="49" fontId="4" fillId="0" borderId="20" xfId="287" applyNumberFormat="1" applyFont="1" applyBorder="1" applyAlignment="1">
      <alignment horizontal="center" vertical="center"/>
      <protection/>
    </xf>
    <xf numFmtId="49" fontId="4" fillId="47" borderId="20" xfId="287" applyNumberFormat="1" applyFont="1" applyFill="1" applyBorder="1" applyAlignment="1">
      <alignment horizontal="left" vertical="center"/>
      <protection/>
    </xf>
    <xf numFmtId="49" fontId="5" fillId="47" borderId="20" xfId="287" applyNumberFormat="1" applyFont="1" applyFill="1" applyBorder="1" applyAlignment="1">
      <alignment horizontal="left" vertical="center"/>
      <protection/>
    </xf>
    <xf numFmtId="3" fontId="28" fillId="0" borderId="20" xfId="288" applyNumberFormat="1" applyFont="1" applyFill="1" applyBorder="1" applyAlignment="1">
      <alignment vertical="center"/>
      <protection/>
    </xf>
    <xf numFmtId="49" fontId="20" fillId="0" borderId="0" xfId="287" applyNumberFormat="1" applyFont="1" applyAlignment="1">
      <alignment vertical="center"/>
      <protection/>
    </xf>
    <xf numFmtId="49" fontId="4" fillId="47" borderId="20" xfId="287" applyNumberFormat="1" applyFont="1" applyFill="1" applyBorder="1" applyAlignment="1">
      <alignment horizontal="left" vertical="center"/>
      <protection/>
    </xf>
    <xf numFmtId="3" fontId="28" fillId="0" borderId="20" xfId="288" applyNumberFormat="1" applyFont="1" applyFill="1" applyBorder="1" applyAlignment="1">
      <alignment horizontal="center" vertical="center"/>
      <protection/>
    </xf>
    <xf numFmtId="49" fontId="0" fillId="0" borderId="0" xfId="287" applyNumberFormat="1" applyFill="1">
      <alignment/>
      <protection/>
    </xf>
    <xf numFmtId="49" fontId="20" fillId="0" borderId="0" xfId="287" applyNumberFormat="1" applyFont="1">
      <alignment/>
      <protection/>
    </xf>
    <xf numFmtId="49" fontId="28" fillId="0" borderId="0" xfId="287" applyNumberFormat="1" applyFont="1" applyFill="1" applyBorder="1" applyAlignment="1">
      <alignment horizontal="center" wrapText="1"/>
      <protection/>
    </xf>
    <xf numFmtId="49" fontId="59" fillId="0" borderId="0" xfId="287" applyNumberFormat="1" applyFont="1" applyBorder="1">
      <alignment/>
      <protection/>
    </xf>
    <xf numFmtId="49" fontId="60" fillId="0" borderId="0" xfId="287" applyNumberFormat="1" applyFont="1">
      <alignment/>
      <protection/>
    </xf>
    <xf numFmtId="49" fontId="1" fillId="0" borderId="0" xfId="287" applyNumberFormat="1" applyFont="1">
      <alignment/>
      <protection/>
    </xf>
    <xf numFmtId="9" fontId="1" fillId="0" borderId="0" xfId="300" applyFont="1" applyAlignment="1">
      <alignment/>
    </xf>
    <xf numFmtId="49" fontId="61" fillId="0" borderId="0" xfId="287" applyNumberFormat="1" applyFont="1" applyBorder="1">
      <alignment/>
      <protection/>
    </xf>
    <xf numFmtId="49" fontId="25" fillId="0" borderId="0" xfId="287" applyNumberFormat="1" applyFont="1" applyBorder="1" applyAlignment="1">
      <alignment horizontal="center" wrapText="1"/>
      <protection/>
    </xf>
    <xf numFmtId="49" fontId="25" fillId="0" borderId="0" xfId="287" applyNumberFormat="1" applyFont="1" applyFill="1" applyBorder="1" applyAlignment="1">
      <alignment horizontal="center" wrapText="1"/>
      <protection/>
    </xf>
    <xf numFmtId="49" fontId="62" fillId="0" borderId="0" xfId="287" applyNumberFormat="1" applyFont="1" applyBorder="1">
      <alignment/>
      <protection/>
    </xf>
    <xf numFmtId="49" fontId="63" fillId="0" borderId="0" xfId="287" applyNumberFormat="1" applyFont="1" applyBorder="1" applyAlignment="1">
      <alignment wrapText="1"/>
      <protection/>
    </xf>
    <xf numFmtId="49" fontId="2" fillId="0" borderId="0" xfId="287" applyNumberFormat="1" applyFont="1" applyBorder="1">
      <alignment/>
      <protection/>
    </xf>
    <xf numFmtId="49" fontId="40" fillId="0" borderId="0" xfId="287" applyNumberFormat="1" applyFont="1" applyBorder="1" applyAlignment="1">
      <alignment horizontal="center" wrapText="1"/>
      <protection/>
    </xf>
    <xf numFmtId="49" fontId="40" fillId="0" borderId="0" xfId="287" applyNumberFormat="1" applyFont="1" applyFill="1" applyBorder="1" applyAlignment="1">
      <alignment horizontal="center" wrapText="1"/>
      <protection/>
    </xf>
    <xf numFmtId="49" fontId="64" fillId="0" borderId="0" xfId="287" applyNumberFormat="1" applyFont="1" applyBorder="1">
      <alignment/>
      <protection/>
    </xf>
    <xf numFmtId="49" fontId="28" fillId="0" borderId="0" xfId="287" applyNumberFormat="1" applyFont="1">
      <alignment/>
      <protection/>
    </xf>
    <xf numFmtId="49" fontId="28" fillId="0" borderId="0" xfId="287" applyNumberFormat="1" applyFont="1" applyFill="1">
      <alignment/>
      <protection/>
    </xf>
    <xf numFmtId="49" fontId="28" fillId="47" borderId="0" xfId="287" applyNumberFormat="1" applyFont="1" applyFill="1">
      <alignment/>
      <protection/>
    </xf>
    <xf numFmtId="0" fontId="25" fillId="0" borderId="0" xfId="287" applyFont="1" applyAlignment="1">
      <alignment horizontal="center"/>
      <protection/>
    </xf>
    <xf numFmtId="49" fontId="25" fillId="47" borderId="0" xfId="287" applyNumberFormat="1" applyFont="1" applyFill="1" applyAlignment="1">
      <alignment horizontal="center"/>
      <protection/>
    </xf>
    <xf numFmtId="0" fontId="66" fillId="0" borderId="0" xfId="287" applyFont="1" applyAlignment="1">
      <alignment/>
      <protection/>
    </xf>
    <xf numFmtId="0" fontId="3" fillId="0" borderId="0" xfId="287" applyFont="1" applyAlignment="1">
      <alignment/>
      <protection/>
    </xf>
    <xf numFmtId="49" fontId="31" fillId="0" borderId="0" xfId="287" applyNumberFormat="1" applyFont="1">
      <alignment/>
      <protection/>
    </xf>
    <xf numFmtId="3" fontId="0" fillId="0" borderId="0" xfId="287" applyNumberFormat="1" applyFont="1" applyFill="1">
      <alignment/>
      <protection/>
    </xf>
    <xf numFmtId="49" fontId="3" fillId="0" borderId="0" xfId="287" applyNumberFormat="1" applyFont="1" applyFill="1" applyAlignment="1">
      <alignment wrapText="1"/>
      <protection/>
    </xf>
    <xf numFmtId="49" fontId="0" fillId="0" borderId="0" xfId="287" applyNumberFormat="1" applyFont="1" applyFill="1" applyBorder="1" applyAlignment="1">
      <alignment/>
      <protection/>
    </xf>
    <xf numFmtId="49" fontId="0" fillId="0" borderId="0" xfId="287" applyNumberFormat="1" applyFont="1" applyFill="1" applyBorder="1">
      <alignment/>
      <protection/>
    </xf>
    <xf numFmtId="49" fontId="19" fillId="0" borderId="22" xfId="287" applyNumberFormat="1" applyFont="1" applyFill="1" applyBorder="1" applyAlignment="1">
      <alignment/>
      <protection/>
    </xf>
    <xf numFmtId="49" fontId="5" fillId="0" borderId="22" xfId="287" applyNumberFormat="1" applyFont="1" applyFill="1" applyBorder="1" applyAlignment="1">
      <alignment horizontal="center"/>
      <protection/>
    </xf>
    <xf numFmtId="49" fontId="0" fillId="0" borderId="0" xfId="287" applyNumberFormat="1" applyFill="1" applyBorder="1">
      <alignment/>
      <protection/>
    </xf>
    <xf numFmtId="49" fontId="6" fillId="0" borderId="20" xfId="287" applyNumberFormat="1" applyFont="1" applyFill="1" applyBorder="1" applyAlignment="1">
      <alignment horizontal="center" vertical="center" wrapText="1"/>
      <protection/>
    </xf>
    <xf numFmtId="49" fontId="19" fillId="0" borderId="20" xfId="287" applyNumberFormat="1" applyFont="1" applyFill="1" applyBorder="1" applyAlignment="1">
      <alignment horizontal="center" vertical="center" wrapText="1"/>
      <protection/>
    </xf>
    <xf numFmtId="3" fontId="29" fillId="3" borderId="20" xfId="287" applyNumberFormat="1" applyFont="1" applyFill="1" applyBorder="1" applyAlignment="1">
      <alignment horizontal="center" vertical="center" wrapText="1"/>
      <protection/>
    </xf>
    <xf numFmtId="3" fontId="69" fillId="3" borderId="20" xfId="287" applyNumberFormat="1" applyFont="1" applyFill="1" applyBorder="1" applyAlignment="1">
      <alignment horizontal="center" vertical="center" wrapText="1"/>
      <protection/>
    </xf>
    <xf numFmtId="3" fontId="6" fillId="44" borderId="20" xfId="287" applyNumberFormat="1" applyFont="1" applyFill="1" applyBorder="1" applyAlignment="1">
      <alignment horizontal="center" vertical="center" wrapText="1"/>
      <protection/>
    </xf>
    <xf numFmtId="49" fontId="7" fillId="0" borderId="20" xfId="287" applyNumberFormat="1" applyFont="1" applyFill="1" applyBorder="1" applyAlignment="1">
      <alignment horizontal="center"/>
      <protection/>
    </xf>
    <xf numFmtId="49" fontId="7" fillId="0" borderId="20" xfId="287" applyNumberFormat="1" applyFont="1" applyFill="1" applyBorder="1" applyAlignment="1">
      <alignment horizontal="left"/>
      <protection/>
    </xf>
    <xf numFmtId="3" fontId="5" fillId="44" borderId="20" xfId="287" applyNumberFormat="1" applyFont="1" applyFill="1" applyBorder="1" applyAlignment="1">
      <alignment horizontal="center" vertical="center" wrapText="1"/>
      <protection/>
    </xf>
    <xf numFmtId="3" fontId="5" fillId="0" borderId="20" xfId="287" applyNumberFormat="1" applyFont="1" applyFill="1" applyBorder="1" applyAlignment="1">
      <alignment horizontal="center" vertical="center" wrapText="1"/>
      <protection/>
    </xf>
    <xf numFmtId="9" fontId="0" fillId="0" borderId="0" xfId="300" applyFont="1" applyFill="1" applyAlignment="1">
      <alignment/>
    </xf>
    <xf numFmtId="49" fontId="7" fillId="44" borderId="23" xfId="287" applyNumberFormat="1" applyFont="1" applyFill="1" applyBorder="1" applyAlignment="1">
      <alignment horizontal="center"/>
      <protection/>
    </xf>
    <xf numFmtId="49" fontId="7" fillId="44" borderId="20" xfId="287" applyNumberFormat="1" applyFont="1" applyFill="1" applyBorder="1" applyAlignment="1">
      <alignment horizontal="left"/>
      <protection/>
    </xf>
    <xf numFmtId="49" fontId="4" fillId="0" borderId="23" xfId="287" applyNumberFormat="1" applyFont="1" applyFill="1" applyBorder="1" applyAlignment="1">
      <alignment horizontal="center"/>
      <protection/>
    </xf>
    <xf numFmtId="49" fontId="4" fillId="47" borderId="20" xfId="287" applyNumberFormat="1" applyFont="1" applyFill="1" applyBorder="1" applyAlignment="1">
      <alignment horizontal="left"/>
      <protection/>
    </xf>
    <xf numFmtId="3" fontId="5" fillId="47" borderId="20" xfId="287" applyNumberFormat="1" applyFont="1" applyFill="1" applyBorder="1" applyAlignment="1">
      <alignment horizontal="center" vertical="center" wrapText="1"/>
      <protection/>
    </xf>
    <xf numFmtId="49" fontId="5" fillId="47" borderId="20" xfId="287" applyNumberFormat="1" applyFont="1" applyFill="1" applyBorder="1" applyAlignment="1">
      <alignment horizontal="left"/>
      <protection/>
    </xf>
    <xf numFmtId="49" fontId="6" fillId="0" borderId="19" xfId="287" applyNumberFormat="1" applyFont="1" applyFill="1" applyBorder="1" applyAlignment="1">
      <alignment horizontal="center"/>
      <protection/>
    </xf>
    <xf numFmtId="49" fontId="6" fillId="0" borderId="19" xfId="287" applyNumberFormat="1" applyFont="1" applyFill="1" applyBorder="1" applyAlignment="1">
      <alignment horizontal="left"/>
      <protection/>
    </xf>
    <xf numFmtId="3" fontId="5" fillId="0" borderId="19" xfId="287" applyNumberFormat="1" applyFont="1" applyFill="1" applyBorder="1" applyAlignment="1">
      <alignment horizontal="center" vertical="center" wrapText="1"/>
      <protection/>
    </xf>
    <xf numFmtId="49" fontId="15" fillId="0" borderId="0" xfId="287" applyNumberFormat="1" applyFont="1" applyFill="1" applyBorder="1" applyAlignment="1">
      <alignment vertical="center" wrapText="1"/>
      <protection/>
    </xf>
    <xf numFmtId="49" fontId="70" fillId="0" borderId="0" xfId="287" applyNumberFormat="1" applyFont="1" applyFill="1">
      <alignment/>
      <protection/>
    </xf>
    <xf numFmtId="49" fontId="4" fillId="0" borderId="0" xfId="287" applyNumberFormat="1" applyFont="1" applyFill="1">
      <alignment/>
      <protection/>
    </xf>
    <xf numFmtId="49" fontId="0" fillId="47" borderId="0" xfId="287" applyNumberFormat="1" applyFont="1" applyFill="1">
      <alignment/>
      <protection/>
    </xf>
    <xf numFmtId="49" fontId="3" fillId="47" borderId="0" xfId="287" applyNumberFormat="1" applyFont="1" applyFill="1" applyAlignment="1">
      <alignment horizontal="center"/>
      <protection/>
    </xf>
    <xf numFmtId="49" fontId="22" fillId="0" borderId="0" xfId="287" applyNumberFormat="1" applyFont="1" applyFill="1">
      <alignment/>
      <protection/>
    </xf>
    <xf numFmtId="49" fontId="3" fillId="0" borderId="0" xfId="287" applyNumberFormat="1" applyFont="1" applyFill="1">
      <alignment/>
      <protection/>
    </xf>
    <xf numFmtId="49" fontId="13" fillId="0" borderId="0" xfId="287" applyNumberFormat="1" applyFont="1" applyFill="1" applyAlignment="1">
      <alignment/>
      <protection/>
    </xf>
    <xf numFmtId="49" fontId="13" fillId="0" borderId="0" xfId="287" applyNumberFormat="1" applyFont="1" applyFill="1" applyAlignment="1">
      <alignment wrapText="1"/>
      <protection/>
    </xf>
    <xf numFmtId="49" fontId="13" fillId="0" borderId="0" xfId="287" applyNumberFormat="1" applyFont="1" applyFill="1" applyAlignment="1">
      <alignment horizontal="left" wrapText="1"/>
      <protection/>
    </xf>
    <xf numFmtId="49" fontId="0" fillId="0" borderId="0" xfId="287" applyNumberFormat="1" applyAlignment="1">
      <alignment horizontal="left"/>
      <protection/>
    </xf>
    <xf numFmtId="49" fontId="0" fillId="0" borderId="0" xfId="287" applyNumberFormat="1" applyFont="1" applyBorder="1" applyAlignment="1">
      <alignment horizontal="left"/>
      <protection/>
    </xf>
    <xf numFmtId="49" fontId="13" fillId="0" borderId="20" xfId="287" applyNumberFormat="1" applyFont="1" applyBorder="1" applyAlignment="1">
      <alignment horizontal="center"/>
      <protection/>
    </xf>
    <xf numFmtId="3" fontId="4" fillId="4" borderId="20" xfId="288" applyNumberFormat="1" applyFont="1" applyFill="1" applyBorder="1" applyAlignment="1">
      <alignment horizontal="center" vertical="center"/>
      <protection/>
    </xf>
    <xf numFmtId="3" fontId="32" fillId="47" borderId="20" xfId="287" applyNumberFormat="1" applyFont="1" applyFill="1" applyBorder="1" applyAlignment="1">
      <alignment horizontal="center" vertical="center"/>
      <protection/>
    </xf>
    <xf numFmtId="3" fontId="17" fillId="3" borderId="20" xfId="287" applyNumberFormat="1" applyFont="1" applyFill="1" applyBorder="1" applyAlignment="1">
      <alignment horizontal="center" vertical="center"/>
      <protection/>
    </xf>
    <xf numFmtId="3" fontId="34" fillId="3" borderId="20" xfId="287" applyNumberFormat="1" applyFont="1" applyFill="1" applyBorder="1" applyAlignment="1">
      <alignment horizontal="center" vertical="center"/>
      <protection/>
    </xf>
    <xf numFmtId="3" fontId="7" fillId="44" borderId="20" xfId="287" applyNumberFormat="1" applyFont="1" applyFill="1" applyBorder="1" applyAlignment="1">
      <alignment horizontal="center" vertical="center"/>
      <protection/>
    </xf>
    <xf numFmtId="3" fontId="7" fillId="44" borderId="20" xfId="287" applyNumberFormat="1" applyFont="1" applyFill="1" applyBorder="1" applyAlignment="1">
      <alignment horizontal="center" vertical="center"/>
      <protection/>
    </xf>
    <xf numFmtId="3" fontId="7" fillId="4" borderId="20" xfId="288" applyNumberFormat="1" applyFont="1" applyFill="1" applyBorder="1" applyAlignment="1">
      <alignment horizontal="center" vertical="center"/>
      <protection/>
    </xf>
    <xf numFmtId="49" fontId="7" fillId="0" borderId="20" xfId="287" applyNumberFormat="1" applyFont="1" applyBorder="1" applyAlignment="1">
      <alignment horizontal="center" vertical="center"/>
      <protection/>
    </xf>
    <xf numFmtId="49" fontId="7" fillId="47" borderId="20" xfId="287" applyNumberFormat="1" applyFont="1" applyFill="1" applyBorder="1" applyAlignment="1">
      <alignment horizontal="left" vertical="center"/>
      <protection/>
    </xf>
    <xf numFmtId="3" fontId="4" fillId="47" borderId="20" xfId="287" applyNumberFormat="1" applyFont="1" applyFill="1" applyBorder="1" applyAlignment="1">
      <alignment horizontal="center" vertical="center"/>
      <protection/>
    </xf>
    <xf numFmtId="3" fontId="4" fillId="44" borderId="20" xfId="287" applyNumberFormat="1" applyFont="1" applyFill="1" applyBorder="1" applyAlignment="1">
      <alignment horizontal="center" vertical="center"/>
      <protection/>
    </xf>
    <xf numFmtId="49" fontId="4" fillId="0" borderId="23" xfId="287" applyNumberFormat="1" applyFont="1" applyBorder="1" applyAlignment="1">
      <alignment horizontal="center" vertical="center"/>
      <protection/>
    </xf>
    <xf numFmtId="49" fontId="0" fillId="0" borderId="0" xfId="287" applyNumberFormat="1" applyFont="1" applyAlignment="1">
      <alignment vertical="center"/>
      <protection/>
    </xf>
    <xf numFmtId="3" fontId="4" fillId="0" borderId="20" xfId="287" applyNumberFormat="1" applyFont="1" applyFill="1" applyBorder="1" applyAlignment="1">
      <alignment horizontal="center" vertical="center"/>
      <protection/>
    </xf>
    <xf numFmtId="3" fontId="4" fillId="47" borderId="20" xfId="288" applyNumberFormat="1" applyFont="1" applyFill="1" applyBorder="1" applyAlignment="1">
      <alignment horizontal="center" vertical="center"/>
      <protection/>
    </xf>
    <xf numFmtId="49" fontId="4" fillId="47" borderId="23" xfId="287" applyNumberFormat="1" applyFont="1" applyFill="1" applyBorder="1" applyAlignment="1">
      <alignment horizontal="center" vertical="center"/>
      <protection/>
    </xf>
    <xf numFmtId="9" fontId="20" fillId="0" borderId="0" xfId="300" applyFont="1" applyAlignment="1">
      <alignment vertical="center"/>
    </xf>
    <xf numFmtId="49" fontId="4" fillId="0" borderId="0" xfId="287" applyNumberFormat="1" applyFont="1" applyBorder="1" applyAlignment="1">
      <alignment horizontal="center"/>
      <protection/>
    </xf>
    <xf numFmtId="49" fontId="4" fillId="47" borderId="0" xfId="287" applyNumberFormat="1" applyFont="1" applyFill="1" applyBorder="1" applyAlignment="1">
      <alignment horizontal="left"/>
      <protection/>
    </xf>
    <xf numFmtId="49" fontId="0" fillId="0" borderId="0" xfId="287" applyNumberFormat="1" applyFont="1" applyFill="1" applyBorder="1" applyAlignment="1">
      <alignment horizontal="center"/>
      <protection/>
    </xf>
    <xf numFmtId="3" fontId="4" fillId="47" borderId="19" xfId="288" applyNumberFormat="1" applyFont="1" applyFill="1" applyBorder="1" applyAlignment="1">
      <alignment horizontal="center" vertical="center"/>
      <protection/>
    </xf>
    <xf numFmtId="9" fontId="0" fillId="0" borderId="0" xfId="300" applyFont="1" applyAlignment="1">
      <alignment/>
    </xf>
    <xf numFmtId="49" fontId="28" fillId="0" borderId="0" xfId="287" applyNumberFormat="1" applyFont="1" applyBorder="1" applyAlignment="1">
      <alignment wrapText="1"/>
      <protection/>
    </xf>
    <xf numFmtId="3" fontId="4" fillId="47" borderId="0" xfId="288" applyNumberFormat="1" applyFont="1" applyFill="1" applyBorder="1" applyAlignment="1">
      <alignment horizontal="center" vertical="center"/>
      <protection/>
    </xf>
    <xf numFmtId="49" fontId="28" fillId="0" borderId="0" xfId="287" applyNumberFormat="1" applyFont="1" applyAlignment="1">
      <alignment wrapText="1"/>
      <protection/>
    </xf>
    <xf numFmtId="49" fontId="37" fillId="0" borderId="0" xfId="287" applyNumberFormat="1" applyFont="1">
      <alignment/>
      <protection/>
    </xf>
    <xf numFmtId="49" fontId="37" fillId="0" borderId="0" xfId="287" applyNumberFormat="1" applyFont="1" applyAlignment="1">
      <alignment wrapText="1"/>
      <protection/>
    </xf>
    <xf numFmtId="49" fontId="3" fillId="47" borderId="0" xfId="287" applyNumberFormat="1" applyFont="1" applyFill="1" applyAlignment="1">
      <alignment/>
      <protection/>
    </xf>
    <xf numFmtId="49" fontId="72" fillId="0" borderId="0" xfId="287" applyNumberFormat="1" applyFont="1">
      <alignment/>
      <protection/>
    </xf>
    <xf numFmtId="49" fontId="13" fillId="0" borderId="0" xfId="287" applyNumberFormat="1" applyFont="1" applyBorder="1" applyAlignment="1">
      <alignment wrapText="1"/>
      <protection/>
    </xf>
    <xf numFmtId="49" fontId="0" fillId="0" borderId="0" xfId="289" applyNumberFormat="1" applyFont="1" applyAlignment="1">
      <alignment horizontal="left"/>
      <protection/>
    </xf>
    <xf numFmtId="49" fontId="14" fillId="0" borderId="0" xfId="289" applyNumberFormat="1" applyFont="1" applyAlignment="1">
      <alignment wrapText="1"/>
      <protection/>
    </xf>
    <xf numFmtId="49" fontId="3" fillId="47" borderId="0" xfId="289" applyNumberFormat="1" applyFont="1" applyFill="1" applyBorder="1" applyAlignment="1">
      <alignment horizontal="left"/>
      <protection/>
    </xf>
    <xf numFmtId="49" fontId="0" fillId="47" borderId="0" xfId="289" applyNumberFormat="1" applyFont="1" applyFill="1" applyBorder="1" applyAlignment="1">
      <alignment horizontal="left"/>
      <protection/>
    </xf>
    <xf numFmtId="49" fontId="26" fillId="0" borderId="0" xfId="289" applyNumberFormat="1" applyFont="1">
      <alignment/>
      <protection/>
    </xf>
    <xf numFmtId="49" fontId="0" fillId="47" borderId="0" xfId="289" applyNumberFormat="1" applyFont="1" applyFill="1" applyBorder="1" applyAlignment="1">
      <alignment/>
      <protection/>
    </xf>
    <xf numFmtId="49" fontId="3" fillId="0" borderId="0" xfId="289" applyNumberFormat="1" applyFont="1" applyBorder="1" applyAlignment="1">
      <alignment horizontal="left"/>
      <protection/>
    </xf>
    <xf numFmtId="49" fontId="0" fillId="0" borderId="0" xfId="289" applyNumberFormat="1" applyFont="1" applyBorder="1" applyAlignment="1">
      <alignment horizontal="left"/>
      <protection/>
    </xf>
    <xf numFmtId="49" fontId="0" fillId="0" borderId="0" xfId="289" applyNumberFormat="1" applyFont="1" applyBorder="1" applyAlignment="1">
      <alignment/>
      <protection/>
    </xf>
    <xf numFmtId="49" fontId="18" fillId="0" borderId="22" xfId="289" applyNumberFormat="1" applyFont="1" applyBorder="1" applyAlignment="1">
      <alignment horizontal="left"/>
      <protection/>
    </xf>
    <xf numFmtId="49" fontId="3" fillId="0" borderId="22" xfId="289" applyNumberFormat="1" applyFont="1" applyBorder="1" applyAlignment="1">
      <alignment horizontal="left"/>
      <protection/>
    </xf>
    <xf numFmtId="49" fontId="26" fillId="0" borderId="0" xfId="289" applyNumberFormat="1" applyFont="1" applyFill="1">
      <alignment/>
      <protection/>
    </xf>
    <xf numFmtId="49" fontId="26" fillId="0" borderId="0" xfId="289" applyNumberFormat="1" applyFont="1" applyAlignment="1">
      <alignment vertical="center"/>
      <protection/>
    </xf>
    <xf numFmtId="49" fontId="6" fillId="47" borderId="20" xfId="289" applyNumberFormat="1" applyFont="1" applyFill="1" applyBorder="1" applyAlignment="1">
      <alignment horizontal="left" vertical="center"/>
      <protection/>
    </xf>
    <xf numFmtId="49" fontId="1" fillId="0" borderId="0" xfId="289" applyNumberFormat="1" applyFont="1">
      <alignment/>
      <protection/>
    </xf>
    <xf numFmtId="49" fontId="28" fillId="0" borderId="0" xfId="289" applyNumberFormat="1" applyFont="1" applyBorder="1" applyAlignment="1">
      <alignment/>
      <protection/>
    </xf>
    <xf numFmtId="49" fontId="79" fillId="0" borderId="0" xfId="289" applyNumberFormat="1" applyFont="1">
      <alignment/>
      <protection/>
    </xf>
    <xf numFmtId="49" fontId="25" fillId="0" borderId="0" xfId="289" applyNumberFormat="1" applyFont="1" applyBorder="1" applyAlignment="1">
      <alignment/>
      <protection/>
    </xf>
    <xf numFmtId="49" fontId="5" fillId="0" borderId="0" xfId="289" applyNumberFormat="1" applyFont="1">
      <alignment/>
      <protection/>
    </xf>
    <xf numFmtId="49" fontId="28" fillId="0" borderId="0" xfId="289" applyNumberFormat="1" applyFont="1" applyAlignment="1">
      <alignment horizontal="center"/>
      <protection/>
    </xf>
    <xf numFmtId="49" fontId="28" fillId="0" borderId="0" xfId="289" applyNumberFormat="1" applyFont="1">
      <alignment/>
      <protection/>
    </xf>
    <xf numFmtId="49" fontId="79" fillId="0" borderId="0" xfId="289" applyNumberFormat="1" applyFont="1" applyAlignment="1">
      <alignment horizontal="center"/>
      <protection/>
    </xf>
    <xf numFmtId="49" fontId="13" fillId="0" borderId="0" xfId="289" applyNumberFormat="1" applyFont="1" applyBorder="1" applyAlignment="1">
      <alignment wrapText="1"/>
      <protection/>
    </xf>
    <xf numFmtId="49" fontId="81" fillId="0" borderId="0" xfId="289" applyNumberFormat="1" applyFont="1">
      <alignment/>
      <protection/>
    </xf>
    <xf numFmtId="9" fontId="26" fillId="0" borderId="0" xfId="300" applyFont="1" applyAlignment="1">
      <alignment/>
    </xf>
    <xf numFmtId="3" fontId="0" fillId="47" borderId="0" xfId="289" applyNumberFormat="1" applyFont="1" applyFill="1" applyBorder="1" applyAlignment="1">
      <alignment/>
      <protection/>
    </xf>
    <xf numFmtId="0" fontId="26" fillId="0" borderId="0" xfId="289">
      <alignment/>
      <protection/>
    </xf>
    <xf numFmtId="0" fontId="0" fillId="0" borderId="0" xfId="289" applyFont="1" applyAlignment="1">
      <alignment horizontal="left"/>
      <protection/>
    </xf>
    <xf numFmtId="0" fontId="0" fillId="0" borderId="0" xfId="289" applyFont="1" applyBorder="1" applyAlignment="1">
      <alignment/>
      <protection/>
    </xf>
    <xf numFmtId="0" fontId="0" fillId="0" borderId="0" xfId="289" applyFont="1" applyBorder="1" applyAlignment="1">
      <alignment horizontal="left"/>
      <protection/>
    </xf>
    <xf numFmtId="0" fontId="26" fillId="0" borderId="0" xfId="289" applyFont="1">
      <alignment/>
      <protection/>
    </xf>
    <xf numFmtId="0" fontId="6" fillId="0" borderId="20" xfId="289" applyFont="1" applyBorder="1" applyAlignment="1">
      <alignment horizontal="center" vertical="center"/>
      <protection/>
    </xf>
    <xf numFmtId="0" fontId="6" fillId="47" borderId="20" xfId="289" applyFont="1" applyFill="1" applyBorder="1" applyAlignment="1">
      <alignment horizontal="left" vertical="center"/>
      <protection/>
    </xf>
    <xf numFmtId="9" fontId="26" fillId="0" borderId="0" xfId="300" applyFont="1" applyAlignment="1">
      <alignment vertical="center"/>
    </xf>
    <xf numFmtId="0" fontId="5" fillId="0" borderId="23" xfId="289" applyFont="1" applyBorder="1" applyAlignment="1">
      <alignment horizontal="center" vertical="center"/>
      <protection/>
    </xf>
    <xf numFmtId="0" fontId="26" fillId="0" borderId="0" xfId="289" applyFont="1" applyAlignment="1">
      <alignment vertical="center"/>
      <protection/>
    </xf>
    <xf numFmtId="0" fontId="1" fillId="0" borderId="0" xfId="289" applyFont="1">
      <alignment/>
      <protection/>
    </xf>
    <xf numFmtId="0" fontId="25" fillId="0" borderId="0" xfId="289" applyFont="1" applyBorder="1" applyAlignment="1">
      <alignment horizontal="center" wrapText="1"/>
      <protection/>
    </xf>
    <xf numFmtId="0" fontId="28" fillId="0" borderId="0" xfId="289" applyFont="1" applyBorder="1" applyAlignment="1">
      <alignment wrapText="1"/>
      <protection/>
    </xf>
    <xf numFmtId="0" fontId="25" fillId="0" borderId="0" xfId="289" applyNumberFormat="1" applyFont="1" applyBorder="1" applyAlignment="1">
      <alignment/>
      <protection/>
    </xf>
    <xf numFmtId="0" fontId="79" fillId="0" borderId="0" xfId="289" applyFont="1">
      <alignment/>
      <protection/>
    </xf>
    <xf numFmtId="0" fontId="25" fillId="0" borderId="0" xfId="289" applyNumberFormat="1" applyFont="1" applyBorder="1" applyAlignment="1">
      <alignment horizontal="center"/>
      <protection/>
    </xf>
    <xf numFmtId="0" fontId="5" fillId="0" borderId="0" xfId="289" applyFont="1">
      <alignment/>
      <protection/>
    </xf>
    <xf numFmtId="0" fontId="28" fillId="0" borderId="0" xfId="289" applyFont="1">
      <alignment/>
      <protection/>
    </xf>
    <xf numFmtId="0" fontId="25" fillId="0" borderId="0" xfId="287" applyFont="1" applyAlignment="1">
      <alignment/>
      <protection/>
    </xf>
    <xf numFmtId="49" fontId="19" fillId="0" borderId="0" xfId="289" applyNumberFormat="1" applyFont="1">
      <alignment/>
      <protection/>
    </xf>
    <xf numFmtId="49" fontId="4" fillId="47" borderId="0" xfId="289" applyNumberFormat="1" applyFont="1" applyFill="1" applyBorder="1" applyAlignment="1">
      <alignment horizontal="left"/>
      <protection/>
    </xf>
    <xf numFmtId="49" fontId="4" fillId="0" borderId="0" xfId="289" applyNumberFormat="1" applyFont="1" applyBorder="1" applyAlignment="1">
      <alignment horizontal="left"/>
      <protection/>
    </xf>
    <xf numFmtId="49" fontId="0" fillId="0" borderId="22" xfId="289" applyNumberFormat="1" applyFont="1" applyBorder="1" applyAlignment="1">
      <alignment/>
      <protection/>
    </xf>
    <xf numFmtId="49" fontId="6" fillId="0" borderId="20" xfId="289" applyNumberFormat="1" applyFont="1" applyFill="1" applyBorder="1" applyAlignment="1">
      <alignment horizontal="center" vertical="center" wrapText="1"/>
      <protection/>
    </xf>
    <xf numFmtId="49" fontId="5" fillId="0" borderId="24" xfId="289" applyNumberFormat="1" applyFont="1" applyFill="1" applyBorder="1">
      <alignment/>
      <protection/>
    </xf>
    <xf numFmtId="49" fontId="5" fillId="0" borderId="0" xfId="289" applyNumberFormat="1" applyFont="1" applyFill="1">
      <alignment/>
      <protection/>
    </xf>
    <xf numFmtId="49" fontId="24" fillId="0" borderId="0" xfId="289" applyNumberFormat="1" applyFont="1" applyFill="1">
      <alignment/>
      <protection/>
    </xf>
    <xf numFmtId="49" fontId="6" fillId="0" borderId="25" xfId="289" applyNumberFormat="1" applyFont="1" applyFill="1" applyBorder="1" applyAlignment="1">
      <alignment horizontal="center" vertical="center" wrapText="1"/>
      <protection/>
    </xf>
    <xf numFmtId="49" fontId="19" fillId="0" borderId="20" xfId="289" applyNumberFormat="1" applyFont="1" applyFill="1" applyBorder="1" applyAlignment="1">
      <alignment horizontal="center" vertical="center"/>
      <protection/>
    </xf>
    <xf numFmtId="49" fontId="19" fillId="0" borderId="20" xfId="289" applyNumberFormat="1" applyFont="1" applyBorder="1" applyAlignment="1">
      <alignment horizontal="center" vertical="center"/>
      <protection/>
    </xf>
    <xf numFmtId="49" fontId="5" fillId="0" borderId="0" xfId="289" applyNumberFormat="1" applyFont="1" applyAlignment="1">
      <alignment vertical="center"/>
      <protection/>
    </xf>
    <xf numFmtId="3" fontId="29" fillId="3" borderId="20" xfId="289" applyNumberFormat="1" applyFont="1" applyFill="1" applyBorder="1" applyAlignment="1">
      <alignment horizontal="center" vertical="center"/>
      <protection/>
    </xf>
    <xf numFmtId="3" fontId="69" fillId="3" borderId="20" xfId="289" applyNumberFormat="1" applyFont="1" applyFill="1" applyBorder="1" applyAlignment="1">
      <alignment horizontal="center" vertical="center"/>
      <protection/>
    </xf>
    <xf numFmtId="3" fontId="29" fillId="4" borderId="20" xfId="289" applyNumberFormat="1" applyFont="1" applyFill="1" applyBorder="1" applyAlignment="1">
      <alignment horizontal="center" vertical="center"/>
      <protection/>
    </xf>
    <xf numFmtId="3" fontId="6" fillId="44" borderId="20" xfId="289" applyNumberFormat="1" applyFont="1" applyFill="1" applyBorder="1" applyAlignment="1">
      <alignment horizontal="center" vertical="center"/>
      <protection/>
    </xf>
    <xf numFmtId="49" fontId="6" fillId="0" borderId="20" xfId="289" applyNumberFormat="1" applyFont="1" applyBorder="1" applyAlignment="1">
      <alignment horizontal="center" vertical="center"/>
      <protection/>
    </xf>
    <xf numFmtId="3" fontId="5" fillId="47" borderId="20" xfId="289" applyNumberFormat="1" applyFont="1" applyFill="1" applyBorder="1" applyAlignment="1">
      <alignment horizontal="center" vertical="center"/>
      <protection/>
    </xf>
    <xf numFmtId="49" fontId="6" fillId="0" borderId="23" xfId="289" applyNumberFormat="1" applyFont="1" applyBorder="1" applyAlignment="1">
      <alignment horizontal="center" vertical="center"/>
      <protection/>
    </xf>
    <xf numFmtId="49" fontId="5" fillId="0" borderId="23" xfId="289" applyNumberFormat="1" applyFont="1" applyBorder="1" applyAlignment="1">
      <alignment horizontal="center" vertical="center"/>
      <protection/>
    </xf>
    <xf numFmtId="3" fontId="5" fillId="0" borderId="20" xfId="289" applyNumberFormat="1" applyFont="1" applyBorder="1" applyAlignment="1">
      <alignment horizontal="center" vertical="center"/>
      <protection/>
    </xf>
    <xf numFmtId="49" fontId="87" fillId="0" borderId="0" xfId="289" applyNumberFormat="1" applyFont="1">
      <alignment/>
      <protection/>
    </xf>
    <xf numFmtId="49" fontId="26" fillId="0" borderId="0" xfId="289" applyNumberFormat="1">
      <alignment/>
      <protection/>
    </xf>
    <xf numFmtId="49" fontId="28" fillId="0" borderId="0" xfId="289" applyNumberFormat="1" applyFont="1" applyBorder="1" applyAlignment="1">
      <alignment wrapText="1"/>
      <protection/>
    </xf>
    <xf numFmtId="49" fontId="21" fillId="0" borderId="0" xfId="289" applyNumberFormat="1" applyFont="1">
      <alignment/>
      <protection/>
    </xf>
    <xf numFmtId="49" fontId="31" fillId="0" borderId="0" xfId="289" applyNumberFormat="1" applyFont="1">
      <alignment/>
      <protection/>
    </xf>
    <xf numFmtId="49" fontId="31" fillId="0" borderId="0" xfId="289" applyNumberFormat="1" applyFont="1" applyAlignment="1">
      <alignment horizontal="center"/>
      <protection/>
    </xf>
    <xf numFmtId="0" fontId="4" fillId="0" borderId="0" xfId="289" applyNumberFormat="1" applyFont="1" applyAlignment="1">
      <alignment horizontal="left"/>
      <protection/>
    </xf>
    <xf numFmtId="0" fontId="5" fillId="0" borderId="0" xfId="289" applyFont="1" applyAlignment="1">
      <alignment/>
      <protection/>
    </xf>
    <xf numFmtId="3" fontId="5" fillId="0" borderId="0" xfId="289" applyNumberFormat="1" applyFont="1">
      <alignment/>
      <protection/>
    </xf>
    <xf numFmtId="0" fontId="7" fillId="0" borderId="0" xfId="289" applyFont="1" applyBorder="1" applyAlignment="1">
      <alignment/>
      <protection/>
    </xf>
    <xf numFmtId="0" fontId="26" fillId="0" borderId="24" xfId="289" applyFont="1" applyBorder="1">
      <alignment/>
      <protection/>
    </xf>
    <xf numFmtId="0" fontId="26" fillId="0" borderId="0" xfId="289" applyFont="1" applyBorder="1">
      <alignment/>
      <protection/>
    </xf>
    <xf numFmtId="0" fontId="12" fillId="0" borderId="20" xfId="289" applyFont="1" applyBorder="1" applyAlignment="1">
      <alignment horizontal="center" vertical="center" wrapText="1"/>
      <protection/>
    </xf>
    <xf numFmtId="0" fontId="19" fillId="0" borderId="23" xfId="289" applyFont="1" applyFill="1" applyBorder="1" applyAlignment="1">
      <alignment horizontal="center" vertical="center"/>
      <protection/>
    </xf>
    <xf numFmtId="0" fontId="19" fillId="0" borderId="20" xfId="289" applyFont="1" applyFill="1" applyBorder="1" applyAlignment="1">
      <alignment horizontal="center" vertical="center"/>
      <protection/>
    </xf>
    <xf numFmtId="0" fontId="19" fillId="0" borderId="20" xfId="289" applyFont="1" applyBorder="1" applyAlignment="1">
      <alignment horizontal="center" vertical="center"/>
      <protection/>
    </xf>
    <xf numFmtId="3" fontId="20" fillId="3" borderId="20" xfId="289" applyNumberFormat="1" applyFont="1" applyFill="1" applyBorder="1" applyAlignment="1">
      <alignment horizontal="center" vertical="center"/>
      <protection/>
    </xf>
    <xf numFmtId="3" fontId="35" fillId="3" borderId="20" xfId="289" applyNumberFormat="1" applyFont="1" applyFill="1" applyBorder="1" applyAlignment="1">
      <alignment horizontal="center" vertical="center"/>
      <protection/>
    </xf>
    <xf numFmtId="3" fontId="3" fillId="44" borderId="23" xfId="289" applyNumberFormat="1" applyFont="1" applyFill="1" applyBorder="1" applyAlignment="1">
      <alignment horizontal="center" vertical="center"/>
      <protection/>
    </xf>
    <xf numFmtId="3" fontId="0" fillId="48" borderId="23" xfId="289" applyNumberFormat="1" applyFont="1" applyFill="1" applyBorder="1" applyAlignment="1">
      <alignment horizontal="center" vertical="center"/>
      <protection/>
    </xf>
    <xf numFmtId="3" fontId="0" fillId="0" borderId="20" xfId="289" applyNumberFormat="1" applyFont="1" applyBorder="1" applyAlignment="1">
      <alignment horizontal="center" vertical="center"/>
      <protection/>
    </xf>
    <xf numFmtId="3" fontId="0" fillId="0" borderId="26" xfId="289" applyNumberFormat="1" applyFont="1" applyBorder="1" applyAlignment="1">
      <alignment horizontal="center" vertical="center"/>
      <protection/>
    </xf>
    <xf numFmtId="0" fontId="6" fillId="0" borderId="23" xfId="289" applyFont="1" applyBorder="1" applyAlignment="1">
      <alignment horizontal="center" vertical="center"/>
      <protection/>
    </xf>
    <xf numFmtId="3" fontId="0" fillId="44" borderId="23" xfId="289" applyNumberFormat="1" applyFont="1" applyFill="1" applyBorder="1" applyAlignment="1">
      <alignment horizontal="center" vertical="center"/>
      <protection/>
    </xf>
    <xf numFmtId="3" fontId="0" fillId="47" borderId="20" xfId="289" applyNumberFormat="1" applyFont="1" applyFill="1" applyBorder="1" applyAlignment="1">
      <alignment horizontal="center" vertical="center"/>
      <protection/>
    </xf>
    <xf numFmtId="3" fontId="0" fillId="47" borderId="26" xfId="289" applyNumberFormat="1" applyFont="1" applyFill="1" applyBorder="1" applyAlignment="1">
      <alignment horizontal="center" vertical="center"/>
      <protection/>
    </xf>
    <xf numFmtId="0" fontId="28" fillId="0" borderId="0" xfId="289" applyNumberFormat="1" applyFont="1" applyBorder="1" applyAlignment="1">
      <alignment/>
      <protection/>
    </xf>
    <xf numFmtId="0" fontId="88" fillId="0" borderId="0" xfId="289" applyFont="1">
      <alignment/>
      <protection/>
    </xf>
    <xf numFmtId="0" fontId="16" fillId="0" borderId="0" xfId="289" applyFont="1">
      <alignment/>
      <protection/>
    </xf>
    <xf numFmtId="0" fontId="27" fillId="0" borderId="0" xfId="289" applyFont="1">
      <alignment/>
      <protection/>
    </xf>
    <xf numFmtId="0" fontId="13" fillId="0" borderId="0" xfId="289" applyFont="1">
      <alignment/>
      <protection/>
    </xf>
    <xf numFmtId="49" fontId="13" fillId="0" borderId="0" xfId="289" applyNumberFormat="1" applyFont="1">
      <alignment/>
      <protection/>
    </xf>
    <xf numFmtId="0" fontId="81" fillId="0" borderId="0" xfId="289" applyFont="1">
      <alignment/>
      <protection/>
    </xf>
    <xf numFmtId="49" fontId="18" fillId="0" borderId="0" xfId="289" applyNumberFormat="1" applyFont="1" applyBorder="1" applyAlignment="1">
      <alignment/>
      <protection/>
    </xf>
    <xf numFmtId="49" fontId="26" fillId="0" borderId="0" xfId="289" applyNumberFormat="1" applyFont="1" applyAlignment="1">
      <alignment horizontal="center"/>
      <protection/>
    </xf>
    <xf numFmtId="3" fontId="19" fillId="47" borderId="22" xfId="289" applyNumberFormat="1" applyFont="1" applyFill="1" applyBorder="1" applyAlignment="1">
      <alignment horizontal="center"/>
      <protection/>
    </xf>
    <xf numFmtId="49" fontId="5" fillId="0" borderId="22" xfId="289" applyNumberFormat="1" applyFont="1" applyBorder="1" applyAlignment="1">
      <alignment/>
      <protection/>
    </xf>
    <xf numFmtId="49" fontId="26" fillId="0" borderId="0" xfId="289" applyNumberFormat="1" applyFill="1">
      <alignment/>
      <protection/>
    </xf>
    <xf numFmtId="49" fontId="26" fillId="0" borderId="0" xfId="289" applyNumberFormat="1" applyFill="1" applyAlignment="1">
      <alignment vertical="center" wrapText="1"/>
      <protection/>
    </xf>
    <xf numFmtId="49" fontId="26" fillId="0" borderId="0" xfId="289" applyNumberFormat="1" applyAlignment="1">
      <alignment vertical="center"/>
      <protection/>
    </xf>
    <xf numFmtId="3" fontId="5" fillId="44" borderId="20" xfId="289" applyNumberFormat="1" applyFont="1" applyFill="1" applyBorder="1" applyAlignment="1">
      <alignment horizontal="center" vertical="center"/>
      <protection/>
    </xf>
    <xf numFmtId="3" fontId="26" fillId="0" borderId="20" xfId="289" applyNumberFormat="1" applyFont="1" applyBorder="1" applyAlignment="1">
      <alignment horizontal="center" vertical="center"/>
      <protection/>
    </xf>
    <xf numFmtId="0" fontId="5" fillId="0" borderId="20" xfId="289" applyFont="1" applyBorder="1" applyAlignment="1">
      <alignment horizontal="center" vertical="center"/>
      <protection/>
    </xf>
    <xf numFmtId="3" fontId="5" fillId="0" borderId="20" xfId="289" applyNumberFormat="1" applyFont="1" applyFill="1" applyBorder="1" applyAlignment="1">
      <alignment horizontal="center" vertical="center"/>
      <protection/>
    </xf>
    <xf numFmtId="3" fontId="26" fillId="0" borderId="20" xfId="289" applyNumberFormat="1" applyFont="1" applyFill="1" applyBorder="1" applyAlignment="1">
      <alignment horizontal="center" vertical="center"/>
      <protection/>
    </xf>
    <xf numFmtId="49" fontId="26" fillId="0" borderId="0" xfId="289" applyNumberFormat="1" applyAlignment="1">
      <alignment horizontal="center"/>
      <protection/>
    </xf>
    <xf numFmtId="49" fontId="72" fillId="0" borderId="0" xfId="289" applyNumberFormat="1" applyFont="1" applyAlignment="1">
      <alignment horizontal="left"/>
      <protection/>
    </xf>
    <xf numFmtId="49" fontId="31" fillId="0" borderId="0" xfId="289" applyNumberFormat="1" applyFont="1" applyAlignment="1">
      <alignment/>
      <protection/>
    </xf>
    <xf numFmtId="49" fontId="3" fillId="47" borderId="0" xfId="289" applyNumberFormat="1" applyFont="1" applyFill="1" applyBorder="1" applyAlignment="1">
      <alignment/>
      <protection/>
    </xf>
    <xf numFmtId="49" fontId="3" fillId="0" borderId="0" xfId="289" applyNumberFormat="1" applyFont="1" applyAlignment="1">
      <alignment/>
      <protection/>
    </xf>
    <xf numFmtId="49" fontId="3" fillId="0" borderId="0" xfId="289" applyNumberFormat="1" applyFont="1" applyBorder="1" applyAlignment="1">
      <alignment/>
      <protection/>
    </xf>
    <xf numFmtId="49" fontId="6" fillId="0" borderId="22" xfId="289" applyNumberFormat="1" applyFont="1" applyBorder="1" applyAlignment="1">
      <alignment/>
      <protection/>
    </xf>
    <xf numFmtId="3" fontId="19" fillId="0" borderId="20" xfId="289" applyNumberFormat="1" applyFont="1" applyBorder="1" applyAlignment="1">
      <alignment horizontal="center" vertical="center"/>
      <protection/>
    </xf>
    <xf numFmtId="49" fontId="26" fillId="47" borderId="0" xfId="289" applyNumberFormat="1" applyFont="1" applyFill="1" applyAlignment="1">
      <alignment vertical="center"/>
      <protection/>
    </xf>
    <xf numFmtId="3" fontId="26" fillId="47" borderId="20" xfId="289" applyNumberFormat="1" applyFont="1" applyFill="1" applyBorder="1" applyAlignment="1">
      <alignment horizontal="center" vertical="center"/>
      <protection/>
    </xf>
    <xf numFmtId="3" fontId="91" fillId="0" borderId="20" xfId="289" applyNumberFormat="1" applyFont="1" applyBorder="1" applyAlignment="1">
      <alignment horizontal="center" vertical="center"/>
      <protection/>
    </xf>
    <xf numFmtId="0" fontId="5" fillId="0" borderId="19" xfId="289" applyFont="1" applyFill="1" applyBorder="1" applyAlignment="1">
      <alignment horizontal="center" vertical="center"/>
      <protection/>
    </xf>
    <xf numFmtId="49" fontId="6" fillId="0" borderId="19" xfId="287" applyNumberFormat="1" applyFont="1" applyFill="1" applyBorder="1" applyAlignment="1">
      <alignment horizontal="left" vertical="center"/>
      <protection/>
    </xf>
    <xf numFmtId="3" fontId="5" fillId="0" borderId="19" xfId="289" applyNumberFormat="1" applyFont="1" applyFill="1" applyBorder="1" applyAlignment="1">
      <alignment horizontal="center" vertical="center"/>
      <protection/>
    </xf>
    <xf numFmtId="3" fontId="19" fillId="0" borderId="19" xfId="289" applyNumberFormat="1" applyFont="1" applyFill="1" applyBorder="1" applyAlignment="1">
      <alignment horizontal="center" vertical="center"/>
      <protection/>
    </xf>
    <xf numFmtId="3" fontId="26" fillId="0" borderId="19" xfId="289" applyNumberFormat="1" applyFont="1" applyFill="1" applyBorder="1" applyAlignment="1">
      <alignment vertical="center"/>
      <protection/>
    </xf>
    <xf numFmtId="3" fontId="92" fillId="0" borderId="19" xfId="289" applyNumberFormat="1" applyFont="1" applyFill="1" applyBorder="1" applyAlignment="1">
      <alignment vertical="center"/>
      <protection/>
    </xf>
    <xf numFmtId="49" fontId="31" fillId="0" borderId="0" xfId="289" applyNumberFormat="1" applyFont="1" applyBorder="1" applyAlignment="1">
      <alignment/>
      <protection/>
    </xf>
    <xf numFmtId="49" fontId="28" fillId="0" borderId="0" xfId="289" applyNumberFormat="1" applyFont="1" applyBorder="1" applyAlignment="1">
      <alignment horizontal="center"/>
      <protection/>
    </xf>
    <xf numFmtId="49" fontId="28" fillId="0" borderId="0" xfId="289" applyNumberFormat="1" applyFont="1" applyAlignment="1">
      <alignment/>
      <protection/>
    </xf>
    <xf numFmtId="0" fontId="5" fillId="47" borderId="0" xfId="289" applyFont="1" applyFill="1" applyBorder="1" applyAlignment="1">
      <alignment/>
      <protection/>
    </xf>
    <xf numFmtId="49" fontId="93" fillId="0" borderId="0" xfId="289" applyNumberFormat="1" applyFont="1">
      <alignment/>
      <protection/>
    </xf>
    <xf numFmtId="49" fontId="94" fillId="0" borderId="0" xfId="289" applyNumberFormat="1" applyFont="1">
      <alignment/>
      <protection/>
    </xf>
    <xf numFmtId="49" fontId="95" fillId="0" borderId="0" xfId="289" applyNumberFormat="1" applyFont="1" applyAlignment="1">
      <alignment horizontal="center"/>
      <protection/>
    </xf>
    <xf numFmtId="49" fontId="25" fillId="47" borderId="0" xfId="287" applyNumberFormat="1" applyFont="1" applyFill="1" applyAlignment="1">
      <alignment/>
      <protection/>
    </xf>
    <xf numFmtId="49" fontId="80" fillId="0" borderId="0" xfId="289" applyNumberFormat="1" applyFont="1">
      <alignment/>
      <protection/>
    </xf>
    <xf numFmtId="49" fontId="31" fillId="0" borderId="0" xfId="289" applyNumberFormat="1" applyFont="1" applyBorder="1" applyAlignment="1">
      <alignment wrapText="1"/>
      <protection/>
    </xf>
    <xf numFmtId="49" fontId="83" fillId="0" borderId="0" xfId="289" applyNumberFormat="1" applyFont="1">
      <alignment/>
      <protection/>
    </xf>
    <xf numFmtId="49" fontId="78" fillId="0" borderId="0" xfId="289" applyNumberFormat="1" applyFont="1">
      <alignment/>
      <protection/>
    </xf>
    <xf numFmtId="49" fontId="14" fillId="0" borderId="0" xfId="289" applyNumberFormat="1" applyFont="1" applyFill="1" applyAlignment="1">
      <alignment wrapText="1"/>
      <protection/>
    </xf>
    <xf numFmtId="49" fontId="0" fillId="0" borderId="0" xfId="289" applyNumberFormat="1" applyFont="1" applyFill="1" applyBorder="1" applyAlignment="1">
      <alignment/>
      <protection/>
    </xf>
    <xf numFmtId="49" fontId="3" fillId="0" borderId="0" xfId="289" applyNumberFormat="1" applyFont="1" applyFill="1" applyBorder="1" applyAlignment="1">
      <alignment/>
      <protection/>
    </xf>
    <xf numFmtId="49" fontId="96" fillId="0" borderId="0" xfId="289" applyNumberFormat="1" applyFont="1" applyFill="1">
      <alignment/>
      <protection/>
    </xf>
    <xf numFmtId="49" fontId="26" fillId="0" borderId="0" xfId="289" applyNumberFormat="1" applyFont="1" applyFill="1" applyAlignment="1">
      <alignment horizontal="center"/>
      <protection/>
    </xf>
    <xf numFmtId="49" fontId="19" fillId="0" borderId="0" xfId="289" applyNumberFormat="1" applyFont="1" applyFill="1" applyBorder="1" applyAlignment="1">
      <alignment/>
      <protection/>
    </xf>
    <xf numFmtId="49" fontId="6" fillId="0" borderId="0" xfId="289" applyNumberFormat="1" applyFont="1" applyFill="1" applyBorder="1" applyAlignment="1">
      <alignment/>
      <protection/>
    </xf>
    <xf numFmtId="49" fontId="82" fillId="0" borderId="0" xfId="289" applyNumberFormat="1" applyFont="1" applyFill="1">
      <alignment/>
      <protection/>
    </xf>
    <xf numFmtId="49" fontId="82" fillId="0" borderId="0" xfId="289" applyNumberFormat="1" applyFont="1" applyFill="1" applyAlignment="1">
      <alignment/>
      <protection/>
    </xf>
    <xf numFmtId="49" fontId="19" fillId="0" borderId="27" xfId="289" applyNumberFormat="1" applyFont="1" applyFill="1" applyBorder="1" applyAlignment="1">
      <alignment horizontal="center" vertical="center"/>
      <protection/>
    </xf>
    <xf numFmtId="3" fontId="6" fillId="44" borderId="27" xfId="289" applyNumberFormat="1" applyFont="1" applyFill="1" applyBorder="1" applyAlignment="1">
      <alignment horizontal="center" vertical="center"/>
      <protection/>
    </xf>
    <xf numFmtId="3" fontId="6" fillId="44" borderId="23" xfId="289" applyNumberFormat="1" applyFont="1" applyFill="1" applyBorder="1" applyAlignment="1">
      <alignment horizontal="center" vertical="center"/>
      <protection/>
    </xf>
    <xf numFmtId="49" fontId="3" fillId="0" borderId="0" xfId="289" applyNumberFormat="1" applyFont="1" applyAlignment="1">
      <alignment horizontal="center"/>
      <protection/>
    </xf>
    <xf numFmtId="49" fontId="25" fillId="0" borderId="0" xfId="289" applyNumberFormat="1" applyFont="1">
      <alignment/>
      <protection/>
    </xf>
    <xf numFmtId="49" fontId="3" fillId="0" borderId="0" xfId="289" applyNumberFormat="1" applyFont="1">
      <alignment/>
      <protection/>
    </xf>
    <xf numFmtId="49" fontId="28" fillId="0" borderId="0" xfId="289" applyNumberFormat="1" applyFont="1">
      <alignment/>
      <protection/>
    </xf>
    <xf numFmtId="3" fontId="3" fillId="47" borderId="0" xfId="289" applyNumberFormat="1" applyFont="1" applyFill="1" applyBorder="1" applyAlignment="1">
      <alignment/>
      <protection/>
    </xf>
    <xf numFmtId="0" fontId="3" fillId="0" borderId="0" xfId="289" applyFont="1">
      <alignment/>
      <protection/>
    </xf>
    <xf numFmtId="0" fontId="4" fillId="0" borderId="0" xfId="289" applyFont="1" applyBorder="1" applyAlignment="1">
      <alignment horizontal="left"/>
      <protection/>
    </xf>
    <xf numFmtId="3" fontId="0" fillId="0" borderId="0" xfId="289" applyNumberFormat="1" applyFont="1" applyAlignment="1">
      <alignment horizontal="left"/>
      <protection/>
    </xf>
    <xf numFmtId="0" fontId="13" fillId="0" borderId="0" xfId="289" applyFont="1" applyBorder="1" applyAlignment="1">
      <alignment/>
      <protection/>
    </xf>
    <xf numFmtId="0" fontId="7" fillId="0" borderId="20" xfId="289" applyFont="1" applyFill="1" applyBorder="1" applyAlignment="1">
      <alignment horizontal="center" vertical="center" wrapText="1"/>
      <protection/>
    </xf>
    <xf numFmtId="0" fontId="3" fillId="0" borderId="0" xfId="289" applyFont="1" applyFill="1" applyBorder="1">
      <alignment/>
      <protection/>
    </xf>
    <xf numFmtId="0" fontId="3" fillId="0" borderId="0" xfId="289" applyFont="1" applyFill="1">
      <alignment/>
      <protection/>
    </xf>
    <xf numFmtId="3" fontId="18" fillId="0" borderId="20" xfId="289" applyNumberFormat="1" applyFont="1" applyBorder="1" applyAlignment="1">
      <alignment horizontal="center" vertical="center"/>
      <protection/>
    </xf>
    <xf numFmtId="0" fontId="0" fillId="0" borderId="0" xfId="289" applyFont="1" applyAlignment="1">
      <alignment horizontal="center" vertical="center"/>
      <protection/>
    </xf>
    <xf numFmtId="3" fontId="4" fillId="44" borderId="20" xfId="289" applyNumberFormat="1" applyFont="1" applyFill="1" applyBorder="1" applyAlignment="1">
      <alignment horizontal="center" vertical="center"/>
      <protection/>
    </xf>
    <xf numFmtId="0" fontId="3" fillId="0" borderId="0" xfId="289" applyFont="1" applyAlignment="1">
      <alignment vertical="center"/>
      <protection/>
    </xf>
    <xf numFmtId="9" fontId="3" fillId="0" borderId="0" xfId="300" applyFont="1" applyAlignment="1">
      <alignment vertical="center"/>
    </xf>
    <xf numFmtId="0" fontId="3" fillId="0" borderId="0" xfId="289" applyFont="1" applyAlignment="1">
      <alignment horizontal="center"/>
      <protection/>
    </xf>
    <xf numFmtId="0" fontId="25" fillId="0" borderId="0" xfId="289" applyFont="1">
      <alignment/>
      <protection/>
    </xf>
    <xf numFmtId="0" fontId="72" fillId="0" borderId="0" xfId="289" applyFont="1" applyAlignment="1">
      <alignment horizontal="center"/>
      <protection/>
    </xf>
    <xf numFmtId="49" fontId="52" fillId="0" borderId="0" xfId="289" applyNumberFormat="1" applyFont="1">
      <alignment/>
      <protection/>
    </xf>
    <xf numFmtId="49" fontId="97" fillId="0" borderId="0" xfId="289" applyNumberFormat="1" applyFont="1" applyBorder="1" applyAlignment="1">
      <alignment wrapText="1"/>
      <protection/>
    </xf>
    <xf numFmtId="0" fontId="31" fillId="0" borderId="0" xfId="28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28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28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28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285"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3" fontId="31" fillId="47" borderId="20" xfId="285"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2" fillId="47" borderId="20" xfId="0" applyNumberFormat="1" applyFont="1" applyFill="1" applyBorder="1" applyAlignment="1">
      <alignment/>
    </xf>
    <xf numFmtId="3" fontId="52" fillId="47" borderId="20" xfId="285" applyNumberFormat="1" applyFont="1" applyFill="1" applyBorder="1" applyAlignment="1" applyProtection="1">
      <alignment horizontal="center" vertical="center"/>
      <protection/>
    </xf>
    <xf numFmtId="10" fontId="28" fillId="0" borderId="20" xfId="163" applyNumberFormat="1" applyFont="1" applyFill="1" applyBorder="1" applyAlignment="1">
      <alignment horizontal="center" vertical="center"/>
      <protection/>
    </xf>
    <xf numFmtId="10" fontId="52" fillId="0" borderId="20" xfId="163"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7" fillId="47" borderId="20" xfId="0" applyNumberFormat="1" applyFont="1" applyFill="1" applyBorder="1" applyAlignment="1">
      <alignment/>
    </xf>
    <xf numFmtId="10" fontId="57" fillId="0" borderId="20" xfId="163" applyNumberFormat="1" applyFont="1" applyFill="1" applyBorder="1" applyAlignment="1">
      <alignment horizontal="center" vertical="center"/>
      <protection/>
    </xf>
    <xf numFmtId="3" fontId="57" fillId="47" borderId="20" xfId="285" applyNumberFormat="1" applyFont="1" applyFill="1" applyBorder="1" applyAlignment="1" applyProtection="1">
      <alignment horizontal="center" vertical="center"/>
      <protection/>
    </xf>
    <xf numFmtId="49" fontId="100" fillId="47" borderId="20" xfId="0" applyNumberFormat="1" applyFont="1" applyFill="1" applyBorder="1" applyAlignment="1">
      <alignment/>
    </xf>
    <xf numFmtId="49" fontId="57" fillId="47" borderId="35" xfId="0" applyNumberFormat="1" applyFont="1" applyFill="1" applyBorder="1" applyAlignment="1">
      <alignment/>
    </xf>
    <xf numFmtId="3" fontId="57" fillId="47" borderId="19" xfId="285" applyNumberFormat="1" applyFont="1" applyFill="1" applyBorder="1" applyAlignment="1" applyProtection="1">
      <alignment horizontal="center" vertical="center"/>
      <protection/>
    </xf>
    <xf numFmtId="10" fontId="57" fillId="0" borderId="36" xfId="163"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285" applyNumberFormat="1" applyFont="1" applyFill="1" applyBorder="1" applyAlignment="1" applyProtection="1">
      <alignment horizontal="center" vertical="center"/>
      <protection/>
    </xf>
    <xf numFmtId="3" fontId="4" fillId="47" borderId="37" xfId="285"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49" fontId="4" fillId="0" borderId="0" xfId="0" applyNumberFormat="1" applyFont="1" applyFill="1" applyBorder="1" applyAlignment="1">
      <alignment/>
    </xf>
    <xf numFmtId="49" fontId="28" fillId="0" borderId="0" xfId="0" applyNumberFormat="1" applyFont="1" applyFill="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20" fillId="49" borderId="20" xfId="0" applyFont="1" applyFill="1" applyBorder="1" applyAlignment="1">
      <alignment/>
    </xf>
    <xf numFmtId="0" fontId="0" fillId="49" borderId="20" xfId="0" applyFont="1" applyFill="1" applyBorder="1" applyAlignment="1">
      <alignment/>
    </xf>
    <xf numFmtId="49" fontId="4" fillId="0" borderId="0" xfId="0" applyNumberFormat="1" applyFont="1" applyFill="1" applyAlignment="1">
      <alignment horizontal="left"/>
    </xf>
    <xf numFmtId="49" fontId="28" fillId="0" borderId="0" xfId="0" applyNumberFormat="1" applyFont="1" applyFill="1" applyAlignment="1">
      <alignment horizontal="left"/>
    </xf>
    <xf numFmtId="49" fontId="4" fillId="49" borderId="0" xfId="0" applyNumberFormat="1" applyFont="1" applyFill="1" applyAlignment="1">
      <alignment/>
    </xf>
    <xf numFmtId="0" fontId="20" fillId="49" borderId="20" xfId="0" applyFont="1" applyFill="1" applyBorder="1" applyAlignment="1">
      <alignment wrapText="1"/>
    </xf>
    <xf numFmtId="0" fontId="0" fillId="49" borderId="38" xfId="0" applyFill="1" applyBorder="1" applyAlignment="1">
      <alignment/>
    </xf>
    <xf numFmtId="210" fontId="4" fillId="0" borderId="0" xfId="0" applyNumberFormat="1" applyFont="1" applyFill="1" applyAlignment="1">
      <alignment/>
    </xf>
    <xf numFmtId="49" fontId="32" fillId="0" borderId="0" xfId="0" applyNumberFormat="1" applyFont="1" applyFill="1" applyAlignment="1">
      <alignment/>
    </xf>
    <xf numFmtId="49" fontId="52" fillId="0" borderId="0" xfId="0" applyNumberFormat="1" applyFont="1" applyFill="1" applyAlignment="1">
      <alignment/>
    </xf>
    <xf numFmtId="4" fontId="4" fillId="0" borderId="0" xfId="0" applyNumberFormat="1" applyFont="1" applyFill="1" applyAlignment="1">
      <alignment/>
    </xf>
    <xf numFmtId="4" fontId="4" fillId="0" borderId="0" xfId="0" applyNumberFormat="1" applyFont="1" applyFill="1" applyBorder="1" applyAlignment="1">
      <alignment/>
    </xf>
    <xf numFmtId="4" fontId="4" fillId="49" borderId="0" xfId="0" applyNumberFormat="1" applyFont="1" applyFill="1" applyAlignment="1">
      <alignment/>
    </xf>
    <xf numFmtId="49" fontId="5" fillId="0" borderId="0" xfId="0" applyNumberFormat="1" applyFont="1" applyFill="1" applyAlignment="1">
      <alignment horizontal="left"/>
    </xf>
    <xf numFmtId="4" fontId="101" fillId="49" borderId="0" xfId="0" applyNumberFormat="1" applyFont="1" applyFill="1" applyBorder="1" applyAlignment="1">
      <alignment/>
    </xf>
    <xf numFmtId="49" fontId="101" fillId="49" borderId="0" xfId="0" applyNumberFormat="1" applyFont="1" applyFill="1" applyBorder="1" applyAlignment="1">
      <alignment/>
    </xf>
    <xf numFmtId="0" fontId="0" fillId="49" borderId="20" xfId="289" applyFont="1" applyFill="1" applyBorder="1" applyAlignment="1">
      <alignment horizontal="left"/>
      <protection/>
    </xf>
    <xf numFmtId="0" fontId="8" fillId="49" borderId="20" xfId="291" applyFont="1" applyFill="1" applyBorder="1" applyAlignment="1" applyProtection="1">
      <alignment horizontal="center" vertical="center" wrapText="1"/>
      <protection/>
    </xf>
    <xf numFmtId="3" fontId="8" fillId="49" borderId="20" xfId="292" applyNumberFormat="1" applyFont="1" applyFill="1" applyBorder="1" applyAlignment="1" applyProtection="1">
      <alignment vertical="center" wrapText="1"/>
      <protection/>
    </xf>
    <xf numFmtId="49" fontId="24" fillId="49" borderId="0" xfId="0" applyNumberFormat="1" applyFont="1" applyFill="1" applyAlignment="1">
      <alignment horizontal="left"/>
    </xf>
    <xf numFmtId="0" fontId="8" fillId="49" borderId="20" xfId="293" applyFont="1" applyFill="1" applyBorder="1" applyAlignment="1" applyProtection="1">
      <alignment horizontal="left" vertical="center"/>
      <protection/>
    </xf>
    <xf numFmtId="0" fontId="8" fillId="49" borderId="20" xfId="290" applyFont="1" applyFill="1" applyBorder="1" applyAlignment="1">
      <alignment horizontal="left"/>
      <protection/>
    </xf>
    <xf numFmtId="210" fontId="0" fillId="49" borderId="0" xfId="0" applyNumberFormat="1" applyFont="1" applyFill="1" applyAlignment="1">
      <alignment horizontal="left"/>
    </xf>
    <xf numFmtId="3" fontId="0" fillId="49" borderId="20" xfId="291" applyNumberFormat="1" applyFont="1" applyFill="1" applyBorder="1" applyAlignment="1">
      <alignment vertical="center" wrapText="1"/>
      <protection/>
    </xf>
    <xf numFmtId="3" fontId="0" fillId="49" borderId="20" xfId="307" applyNumberFormat="1" applyFont="1" applyFill="1" applyBorder="1" applyAlignment="1">
      <alignment vertical="center" wrapText="1"/>
    </xf>
    <xf numFmtId="4" fontId="0" fillId="49" borderId="20" xfId="307" applyNumberFormat="1" applyFont="1" applyFill="1" applyBorder="1" applyAlignment="1">
      <alignment vertical="center" wrapText="1"/>
    </xf>
    <xf numFmtId="4" fontId="8" fillId="49" borderId="20" xfId="292" applyNumberFormat="1" applyFont="1" applyFill="1" applyBorder="1" applyAlignment="1">
      <alignment vertical="center" wrapText="1"/>
      <protection/>
    </xf>
    <xf numFmtId="49" fontId="0" fillId="47" borderId="0" xfId="0" applyNumberFormat="1" applyFont="1" applyFill="1" applyAlignment="1">
      <alignment horizontal="left"/>
    </xf>
    <xf numFmtId="210" fontId="0" fillId="47" borderId="0" xfId="0" applyNumberFormat="1" applyFont="1" applyFill="1" applyAlignment="1">
      <alignment horizontal="left"/>
    </xf>
    <xf numFmtId="210" fontId="0" fillId="47" borderId="0" xfId="0" applyNumberFormat="1" applyFont="1" applyFill="1" applyBorder="1" applyAlignment="1">
      <alignment horizontal="left"/>
    </xf>
    <xf numFmtId="4" fontId="0" fillId="47" borderId="0" xfId="0" applyNumberFormat="1" applyFont="1" applyFill="1" applyBorder="1" applyAlignment="1">
      <alignment horizontal="left"/>
    </xf>
    <xf numFmtId="49" fontId="18" fillId="47" borderId="0" xfId="0" applyNumberFormat="1" applyFont="1" applyFill="1" applyAlignment="1">
      <alignment horizontal="left"/>
    </xf>
    <xf numFmtId="49" fontId="0" fillId="47" borderId="0" xfId="0" applyNumberFormat="1" applyFont="1" applyFill="1" applyBorder="1" applyAlignment="1">
      <alignment horizontal="left"/>
    </xf>
    <xf numFmtId="49" fontId="0" fillId="47" borderId="20" xfId="0" applyNumberFormat="1" applyFont="1" applyFill="1" applyBorder="1" applyAlignment="1">
      <alignment horizontal="left"/>
    </xf>
    <xf numFmtId="210" fontId="4" fillId="47" borderId="20" xfId="0" applyNumberFormat="1" applyFont="1" applyFill="1" applyBorder="1" applyAlignment="1" applyProtection="1">
      <alignment horizontal="center" vertical="center" wrapText="1"/>
      <protection/>
    </xf>
    <xf numFmtId="210" fontId="4" fillId="47" borderId="20" xfId="0" applyNumberFormat="1" applyFont="1" applyFill="1" applyBorder="1" applyAlignment="1">
      <alignment horizontal="center" vertical="center" wrapText="1"/>
    </xf>
    <xf numFmtId="210" fontId="30" fillId="47" borderId="20" xfId="0" applyNumberFormat="1" applyFont="1" applyFill="1" applyBorder="1" applyAlignment="1" applyProtection="1">
      <alignment horizontal="left" vertical="center"/>
      <protection/>
    </xf>
    <xf numFmtId="4" fontId="30" fillId="47" borderId="39" xfId="0" applyNumberFormat="1" applyFont="1" applyFill="1" applyBorder="1" applyAlignment="1" applyProtection="1">
      <alignment horizontal="left" vertical="center"/>
      <protection/>
    </xf>
    <xf numFmtId="3" fontId="8" fillId="47" borderId="20" xfId="292" applyNumberFormat="1" applyFont="1" applyFill="1" applyBorder="1" applyAlignment="1" applyProtection="1">
      <alignment vertical="center" wrapText="1"/>
      <protection/>
    </xf>
    <xf numFmtId="4" fontId="8" fillId="47" borderId="20" xfId="292" applyNumberFormat="1" applyFont="1" applyFill="1" applyBorder="1" applyAlignment="1">
      <alignment vertical="center" wrapText="1"/>
      <protection/>
    </xf>
    <xf numFmtId="0" fontId="8" fillId="47" borderId="20" xfId="291" applyFont="1" applyFill="1" applyBorder="1" applyAlignment="1" applyProtection="1">
      <alignment horizontal="center" vertical="center" wrapText="1"/>
      <protection/>
    </xf>
    <xf numFmtId="49" fontId="24" fillId="47" borderId="0" xfId="0" applyNumberFormat="1" applyFont="1" applyFill="1" applyAlignment="1">
      <alignment horizontal="left"/>
    </xf>
    <xf numFmtId="210" fontId="8" fillId="47" borderId="20" xfId="293" applyNumberFormat="1" applyFont="1" applyFill="1" applyBorder="1" applyAlignment="1" applyProtection="1">
      <alignment horizontal="left" vertical="center"/>
      <protection/>
    </xf>
    <xf numFmtId="0" fontId="8" fillId="47" borderId="20" xfId="293" applyFont="1" applyFill="1" applyBorder="1" applyAlignment="1" applyProtection="1">
      <alignment horizontal="left" vertical="center"/>
      <protection/>
    </xf>
    <xf numFmtId="0" fontId="8" fillId="47" borderId="20" xfId="290" applyFont="1" applyFill="1" applyBorder="1" applyAlignment="1">
      <alignment horizontal="left"/>
      <protection/>
    </xf>
    <xf numFmtId="211" fontId="8" fillId="47" borderId="26" xfId="293" applyNumberFormat="1" applyFont="1" applyFill="1" applyBorder="1" applyAlignment="1" applyProtection="1">
      <alignment vertical="center" wrapText="1"/>
      <protection/>
    </xf>
    <xf numFmtId="3" fontId="107" fillId="47" borderId="20" xfId="0" applyNumberFormat="1" applyFont="1" applyFill="1" applyBorder="1" applyAlignment="1" applyProtection="1">
      <alignment vertical="center"/>
      <protection/>
    </xf>
    <xf numFmtId="3" fontId="8" fillId="47" borderId="20" xfId="0" applyNumberFormat="1" applyFont="1" applyFill="1" applyBorder="1" applyAlignment="1" applyProtection="1">
      <alignment vertical="center"/>
      <protection/>
    </xf>
    <xf numFmtId="49" fontId="8" fillId="47" borderId="20" xfId="293" applyNumberFormat="1" applyFont="1" applyFill="1" applyBorder="1" applyAlignment="1" applyProtection="1">
      <alignment horizontal="left" vertical="center"/>
      <protection/>
    </xf>
    <xf numFmtId="3" fontId="8" fillId="47" borderId="20" xfId="301" applyNumberFormat="1" applyFont="1" applyFill="1" applyBorder="1" applyAlignment="1" applyProtection="1">
      <alignment vertical="center"/>
      <protection/>
    </xf>
    <xf numFmtId="3" fontId="8" fillId="47" borderId="20" xfId="0" applyNumberFormat="1" applyFont="1" applyFill="1" applyBorder="1" applyAlignment="1" applyProtection="1">
      <alignment/>
      <protection/>
    </xf>
    <xf numFmtId="3" fontId="8" fillId="47" borderId="20" xfId="97" applyNumberFormat="1" applyFont="1" applyFill="1" applyBorder="1" applyAlignment="1" applyProtection="1">
      <alignment vertical="center"/>
      <protection/>
    </xf>
    <xf numFmtId="3" fontId="8" fillId="47" borderId="20" xfId="307" applyNumberFormat="1" applyFont="1" applyFill="1" applyBorder="1" applyAlignment="1" applyProtection="1">
      <alignment vertical="center" wrapText="1"/>
      <protection/>
    </xf>
    <xf numFmtId="3" fontId="8" fillId="47" borderId="20" xfId="292" applyNumberFormat="1" applyFont="1" applyFill="1" applyBorder="1" applyAlignment="1">
      <alignment vertical="center" wrapText="1"/>
      <protection/>
    </xf>
    <xf numFmtId="49" fontId="8" fillId="47" borderId="20" xfId="291" applyNumberFormat="1" applyFont="1" applyFill="1" applyBorder="1" applyAlignment="1" applyProtection="1">
      <alignment horizontal="center" vertical="center" wrapText="1"/>
      <protection/>
    </xf>
    <xf numFmtId="3" fontId="8" fillId="47" borderId="20" xfId="293" applyNumberFormat="1" applyFont="1" applyFill="1" applyBorder="1" applyAlignment="1" applyProtection="1">
      <alignment horizontal="left" vertical="center" wrapText="1" shrinkToFit="1"/>
      <protection locked="0"/>
    </xf>
    <xf numFmtId="3" fontId="8" fillId="47" borderId="20" xfId="291" applyNumberFormat="1" applyFont="1" applyFill="1" applyBorder="1" applyAlignment="1" applyProtection="1">
      <alignment vertical="center" shrinkToFit="1"/>
      <protection/>
    </xf>
    <xf numFmtId="3" fontId="8" fillId="47" borderId="20" xfId="291" applyNumberFormat="1" applyFont="1" applyFill="1" applyBorder="1" applyAlignment="1" applyProtection="1">
      <alignment vertical="center" shrinkToFit="1"/>
      <protection locked="0"/>
    </xf>
    <xf numFmtId="3" fontId="8" fillId="47" borderId="20" xfId="291" applyNumberFormat="1" applyFont="1" applyFill="1" applyBorder="1" applyAlignment="1">
      <alignment vertical="center" shrinkToFit="1"/>
      <protection/>
    </xf>
    <xf numFmtId="3" fontId="8" fillId="47" borderId="20" xfId="300" applyNumberFormat="1" applyFont="1" applyFill="1" applyBorder="1" applyAlignment="1" applyProtection="1">
      <alignment vertical="center" shrinkToFit="1"/>
      <protection/>
    </xf>
    <xf numFmtId="3" fontId="8" fillId="47" borderId="20" xfId="285" applyNumberFormat="1" applyFont="1" applyFill="1" applyBorder="1" applyAlignment="1" applyProtection="1">
      <alignment vertical="center"/>
      <protection locked="0"/>
    </xf>
    <xf numFmtId="211" fontId="8" fillId="47" borderId="20" xfId="293" applyNumberFormat="1" applyFont="1" applyFill="1" applyBorder="1" applyAlignment="1" applyProtection="1">
      <alignment vertical="center"/>
      <protection/>
    </xf>
    <xf numFmtId="3" fontId="8" fillId="47" borderId="20" xfId="291" applyNumberFormat="1" applyFont="1" applyFill="1" applyBorder="1" applyAlignment="1" applyProtection="1">
      <alignment vertical="center"/>
      <protection/>
    </xf>
    <xf numFmtId="3" fontId="104" fillId="47" borderId="20" xfId="291" applyNumberFormat="1" applyFont="1" applyFill="1" applyBorder="1" applyAlignment="1" applyProtection="1">
      <alignment vertical="center"/>
      <protection hidden="1"/>
    </xf>
    <xf numFmtId="3" fontId="104" fillId="47" borderId="20" xfId="301" applyNumberFormat="1" applyFont="1" applyFill="1" applyBorder="1" applyAlignment="1" applyProtection="1">
      <alignment vertical="center"/>
      <protection hidden="1"/>
    </xf>
    <xf numFmtId="3" fontId="8" fillId="47" borderId="20" xfId="98" applyNumberFormat="1" applyFont="1" applyFill="1" applyBorder="1" applyAlignment="1" applyProtection="1">
      <alignment vertical="center"/>
      <protection/>
    </xf>
    <xf numFmtId="3" fontId="8" fillId="47" borderId="20" xfId="300" applyNumberFormat="1" applyFont="1" applyFill="1" applyBorder="1" applyAlignment="1" applyProtection="1">
      <alignment vertical="center"/>
      <protection/>
    </xf>
    <xf numFmtId="3" fontId="8" fillId="47" borderId="20" xfId="301" applyNumberFormat="1" applyFont="1" applyFill="1" applyBorder="1" applyAlignment="1" applyProtection="1">
      <alignment/>
      <protection/>
    </xf>
    <xf numFmtId="3" fontId="8" fillId="47" borderId="20" xfId="293" applyNumberFormat="1" applyFont="1" applyFill="1" applyBorder="1" applyAlignment="1" applyProtection="1">
      <alignment vertical="center"/>
      <protection/>
    </xf>
    <xf numFmtId="3" fontId="8" fillId="47" borderId="21" xfId="293" applyNumberFormat="1" applyFont="1" applyFill="1" applyBorder="1" applyAlignment="1" applyProtection="1">
      <alignment vertical="center"/>
      <protection/>
    </xf>
    <xf numFmtId="3" fontId="8" fillId="47" borderId="21" xfId="291" applyNumberFormat="1" applyFont="1" applyFill="1" applyBorder="1" applyAlignment="1" applyProtection="1">
      <alignment vertical="center"/>
      <protection/>
    </xf>
    <xf numFmtId="3" fontId="104" fillId="47" borderId="20" xfId="0" applyNumberFormat="1" applyFont="1" applyFill="1" applyBorder="1" applyAlignment="1" applyProtection="1">
      <alignment vertical="center"/>
      <protection hidden="1"/>
    </xf>
    <xf numFmtId="49" fontId="8" fillId="47" borderId="20" xfId="286" applyNumberFormat="1" applyFont="1" applyFill="1" applyBorder="1" applyAlignment="1" applyProtection="1">
      <alignment vertical="center"/>
      <protection locked="0"/>
    </xf>
    <xf numFmtId="0" fontId="8" fillId="47" borderId="20" xfId="0" applyNumberFormat="1" applyFont="1" applyFill="1" applyBorder="1" applyAlignment="1" applyProtection="1">
      <alignment horizontal="left" vertical="center" wrapText="1"/>
      <protection/>
    </xf>
    <xf numFmtId="49" fontId="8" fillId="47" borderId="0" xfId="0" applyNumberFormat="1" applyFont="1" applyFill="1" applyAlignment="1">
      <alignment horizontal="left" vertical="center" wrapText="1"/>
    </xf>
    <xf numFmtId="0" fontId="8" fillId="47" borderId="21" xfId="0" applyNumberFormat="1" applyFont="1" applyFill="1" applyBorder="1" applyAlignment="1" applyProtection="1">
      <alignment horizontal="left" vertical="center" wrapText="1"/>
      <protection/>
    </xf>
    <xf numFmtId="3" fontId="107" fillId="47" borderId="20" xfId="301" applyNumberFormat="1" applyFont="1" applyFill="1" applyBorder="1" applyAlignment="1" applyProtection="1">
      <alignment vertical="center"/>
      <protection/>
    </xf>
    <xf numFmtId="3" fontId="107" fillId="47" borderId="26" xfId="301" applyNumberFormat="1" applyFont="1" applyFill="1" applyBorder="1" applyAlignment="1" applyProtection="1">
      <alignment vertical="center"/>
      <protection/>
    </xf>
    <xf numFmtId="3" fontId="8" fillId="47" borderId="26" xfId="301" applyNumberFormat="1" applyFont="1" applyFill="1" applyBorder="1" applyAlignment="1" applyProtection="1">
      <alignment vertical="center"/>
      <protection/>
    </xf>
    <xf numFmtId="49" fontId="8" fillId="47" borderId="20" xfId="293" applyNumberFormat="1" applyFont="1" applyFill="1" applyBorder="1" applyAlignment="1" applyProtection="1">
      <alignment vertical="center"/>
      <protection/>
    </xf>
    <xf numFmtId="49" fontId="1" fillId="47" borderId="0" xfId="0" applyNumberFormat="1" applyFont="1" applyFill="1" applyBorder="1" applyAlignment="1">
      <alignment horizontal="left"/>
    </xf>
    <xf numFmtId="210" fontId="5" fillId="47" borderId="0" xfId="285" applyNumberFormat="1" applyFont="1" applyFill="1" applyBorder="1" applyAlignment="1" applyProtection="1">
      <alignment horizontal="left" vertical="center"/>
      <protection/>
    </xf>
    <xf numFmtId="210" fontId="28" fillId="47" borderId="0" xfId="0" applyNumberFormat="1" applyFont="1" applyFill="1" applyBorder="1" applyAlignment="1">
      <alignment horizontal="left" wrapText="1"/>
    </xf>
    <xf numFmtId="210" fontId="1" fillId="47" borderId="0" xfId="0" applyNumberFormat="1" applyFont="1" applyFill="1" applyBorder="1" applyAlignment="1">
      <alignment horizontal="left"/>
    </xf>
    <xf numFmtId="0" fontId="28" fillId="47" borderId="0" xfId="0" applyNumberFormat="1" applyFont="1" applyFill="1" applyBorder="1" applyAlignment="1">
      <alignment horizontal="left"/>
    </xf>
    <xf numFmtId="210" fontId="25" fillId="47" borderId="0" xfId="0" applyNumberFormat="1" applyFont="1" applyFill="1" applyBorder="1" applyAlignment="1">
      <alignment horizontal="center" wrapText="1"/>
    </xf>
    <xf numFmtId="0" fontId="28" fillId="47" borderId="0" xfId="0" applyNumberFormat="1" applyFont="1" applyFill="1" applyAlignment="1">
      <alignment horizontal="left"/>
    </xf>
    <xf numFmtId="0" fontId="25" fillId="47" borderId="0" xfId="0" applyNumberFormat="1" applyFont="1" applyFill="1" applyAlignment="1">
      <alignment horizontal="center"/>
    </xf>
    <xf numFmtId="210" fontId="25" fillId="47" borderId="0" xfId="0" applyNumberFormat="1" applyFont="1" applyFill="1" applyAlignment="1">
      <alignment horizontal="center"/>
    </xf>
    <xf numFmtId="4" fontId="25" fillId="47" borderId="0" xfId="0" applyNumberFormat="1" applyFont="1" applyFill="1" applyAlignment="1">
      <alignment horizontal="center"/>
    </xf>
    <xf numFmtId="0" fontId="0" fillId="47" borderId="0" xfId="0" applyNumberFormat="1" applyFont="1" applyFill="1" applyAlignment="1">
      <alignment horizontal="left"/>
    </xf>
    <xf numFmtId="0" fontId="4" fillId="47" borderId="0" xfId="0" applyNumberFormat="1" applyFont="1" applyFill="1" applyAlignment="1">
      <alignment horizontal="left"/>
    </xf>
    <xf numFmtId="0" fontId="4" fillId="47" borderId="0" xfId="0" applyNumberFormat="1" applyFont="1" applyFill="1" applyAlignment="1">
      <alignment horizontal="left" wrapText="1"/>
    </xf>
    <xf numFmtId="0" fontId="25" fillId="47" borderId="0" xfId="0" applyNumberFormat="1" applyFont="1" applyFill="1" applyAlignment="1">
      <alignment horizontal="center" wrapText="1"/>
    </xf>
    <xf numFmtId="210" fontId="25" fillId="47" borderId="0" xfId="0" applyNumberFormat="1" applyFont="1" applyFill="1" applyAlignment="1">
      <alignment horizontal="center" wrapText="1"/>
    </xf>
    <xf numFmtId="4" fontId="0" fillId="47" borderId="0" xfId="0" applyNumberFormat="1" applyFont="1" applyFill="1" applyAlignment="1">
      <alignment horizontal="left"/>
    </xf>
    <xf numFmtId="210" fontId="20" fillId="47" borderId="0" xfId="0" applyNumberFormat="1" applyFont="1" applyFill="1" applyAlignment="1">
      <alignment horizontal="left"/>
    </xf>
    <xf numFmtId="210" fontId="108" fillId="47" borderId="20" xfId="0" applyNumberFormat="1" applyFont="1" applyFill="1" applyBorder="1" applyAlignment="1" applyProtection="1">
      <alignment horizontal="left" vertical="center"/>
      <protection/>
    </xf>
    <xf numFmtId="3" fontId="103" fillId="47" borderId="20" xfId="292" applyNumberFormat="1" applyFont="1" applyFill="1" applyBorder="1" applyAlignment="1" applyProtection="1">
      <alignment vertical="center" wrapText="1"/>
      <protection/>
    </xf>
    <xf numFmtId="3" fontId="109" fillId="47" borderId="20" xfId="0" applyNumberFormat="1" applyFont="1" applyFill="1" applyBorder="1" applyAlignment="1" applyProtection="1">
      <alignment vertical="center"/>
      <protection/>
    </xf>
    <xf numFmtId="3" fontId="103" fillId="47" borderId="20" xfId="0" applyNumberFormat="1" applyFont="1" applyFill="1" applyBorder="1" applyAlignment="1" applyProtection="1">
      <alignment vertical="center"/>
      <protection/>
    </xf>
    <xf numFmtId="3" fontId="103" fillId="47" borderId="20" xfId="97" applyNumberFormat="1" applyFont="1" applyFill="1" applyBorder="1" applyAlignment="1" applyProtection="1">
      <alignment vertical="center"/>
      <protection/>
    </xf>
    <xf numFmtId="3" fontId="103" fillId="47" borderId="20" xfId="291" applyNumberFormat="1" applyFont="1" applyFill="1" applyBorder="1" applyAlignment="1" applyProtection="1">
      <alignment vertical="center" shrinkToFit="1"/>
      <protection/>
    </xf>
    <xf numFmtId="3" fontId="103" fillId="47" borderId="20" xfId="285" applyNumberFormat="1" applyFont="1" applyFill="1" applyBorder="1" applyAlignment="1" applyProtection="1">
      <alignment vertical="center"/>
      <protection locked="0"/>
    </xf>
    <xf numFmtId="3" fontId="103" fillId="47" borderId="20" xfId="291" applyNumberFormat="1" applyFont="1" applyFill="1" applyBorder="1" applyAlignment="1" applyProtection="1">
      <alignment vertical="center"/>
      <protection/>
    </xf>
    <xf numFmtId="3" fontId="103" fillId="47" borderId="20" xfId="0" applyNumberFormat="1" applyFont="1" applyFill="1" applyBorder="1" applyAlignment="1" applyProtection="1">
      <alignment/>
      <protection/>
    </xf>
    <xf numFmtId="3" fontId="103" fillId="47" borderId="21" xfId="291" applyNumberFormat="1" applyFont="1" applyFill="1" applyBorder="1" applyAlignment="1" applyProtection="1">
      <alignment vertical="center"/>
      <protection/>
    </xf>
    <xf numFmtId="3" fontId="110" fillId="47" borderId="20" xfId="0" applyNumberFormat="1" applyFont="1" applyFill="1" applyBorder="1" applyAlignment="1" applyProtection="1">
      <alignment vertical="center"/>
      <protection hidden="1"/>
    </xf>
    <xf numFmtId="3" fontId="103" fillId="47" borderId="20" xfId="95" applyNumberFormat="1" applyFont="1" applyFill="1" applyBorder="1" applyAlignment="1" applyProtection="1">
      <alignment vertical="center"/>
      <protection/>
    </xf>
    <xf numFmtId="210" fontId="111" fillId="47" borderId="0" xfId="0" applyNumberFormat="1" applyFont="1" applyFill="1" applyAlignment="1">
      <alignment horizontal="center"/>
    </xf>
    <xf numFmtId="210" fontId="111" fillId="47" borderId="0" xfId="0" applyNumberFormat="1" applyFont="1" applyFill="1" applyAlignment="1">
      <alignment horizontal="center" wrapText="1"/>
    </xf>
    <xf numFmtId="210" fontId="52" fillId="47" borderId="0" xfId="0" applyNumberFormat="1" applyFont="1" applyFill="1" applyBorder="1" applyAlignment="1">
      <alignment horizontal="left" wrapText="1"/>
    </xf>
    <xf numFmtId="210" fontId="111" fillId="47" borderId="0" xfId="0" applyNumberFormat="1" applyFont="1" applyFill="1" applyBorder="1" applyAlignment="1">
      <alignment horizontal="center" wrapText="1"/>
    </xf>
    <xf numFmtId="210" fontId="20" fillId="47" borderId="0" xfId="0" applyNumberFormat="1" applyFont="1" applyFill="1" applyBorder="1" applyAlignment="1">
      <alignment horizontal="left"/>
    </xf>
    <xf numFmtId="210" fontId="112" fillId="47" borderId="0" xfId="0" applyNumberFormat="1" applyFont="1" applyFill="1" applyAlignment="1">
      <alignment horizontal="left"/>
    </xf>
    <xf numFmtId="3" fontId="103" fillId="47" borderId="20" xfId="97" applyNumberFormat="1" applyFont="1" applyFill="1" applyBorder="1" applyAlignment="1">
      <alignment/>
    </xf>
    <xf numFmtId="3" fontId="103" fillId="47" borderId="20" xfId="292" applyNumberFormat="1" applyFont="1" applyFill="1" applyBorder="1" applyAlignment="1">
      <alignment vertical="center" wrapText="1"/>
      <protection/>
    </xf>
    <xf numFmtId="3" fontId="103" fillId="47" borderId="20" xfId="300" applyNumberFormat="1" applyFont="1" applyFill="1" applyBorder="1" applyAlignment="1" applyProtection="1">
      <alignment vertical="center" shrinkToFit="1"/>
      <protection/>
    </xf>
    <xf numFmtId="3" fontId="103" fillId="47" borderId="20" xfId="291" applyNumberFormat="1" applyFont="1" applyFill="1" applyBorder="1" applyAlignment="1">
      <alignment/>
      <protection/>
    </xf>
    <xf numFmtId="3" fontId="110" fillId="47" borderId="20" xfId="291" applyNumberFormat="1" applyFont="1" applyFill="1" applyBorder="1" applyAlignment="1" applyProtection="1">
      <alignment/>
      <protection hidden="1"/>
    </xf>
    <xf numFmtId="3" fontId="103" fillId="47" borderId="20" xfId="0" applyNumberFormat="1" applyFont="1" applyFill="1" applyBorder="1" applyAlignment="1">
      <alignment/>
    </xf>
    <xf numFmtId="3" fontId="110" fillId="47" borderId="20" xfId="0" applyNumberFormat="1" applyFont="1" applyFill="1" applyBorder="1" applyAlignment="1" applyProtection="1">
      <alignment/>
      <protection hidden="1"/>
    </xf>
    <xf numFmtId="3" fontId="103" fillId="47" borderId="25" xfId="0" applyNumberFormat="1" applyFont="1" applyFill="1" applyBorder="1" applyAlignment="1">
      <alignment vertical="center"/>
    </xf>
    <xf numFmtId="3" fontId="103" fillId="47" borderId="20" xfId="0" applyNumberFormat="1" applyFont="1" applyFill="1" applyBorder="1" applyAlignment="1">
      <alignment vertical="center"/>
    </xf>
    <xf numFmtId="3" fontId="103" fillId="49" borderId="20" xfId="291" applyNumberFormat="1" applyFont="1" applyFill="1" applyBorder="1" applyAlignment="1" applyProtection="1">
      <alignment horizontal="right" vertical="center" wrapText="1"/>
      <protection/>
    </xf>
    <xf numFmtId="3" fontId="103" fillId="49" borderId="20" xfId="292" applyNumberFormat="1" applyFont="1" applyFill="1" applyBorder="1" applyAlignment="1" applyProtection="1">
      <alignment vertical="center" wrapText="1"/>
      <protection/>
    </xf>
    <xf numFmtId="49" fontId="0" fillId="49" borderId="0" xfId="0" applyNumberFormat="1" applyFont="1" applyFill="1" applyAlignment="1">
      <alignment horizontal="left"/>
    </xf>
    <xf numFmtId="0" fontId="103" fillId="49" borderId="20" xfId="293" applyFont="1" applyFill="1" applyBorder="1" applyAlignment="1" applyProtection="1">
      <alignment horizontal="left" vertical="center"/>
      <protection/>
    </xf>
    <xf numFmtId="3" fontId="103" fillId="49" borderId="20" xfId="292" applyNumberFormat="1" applyFont="1" applyFill="1" applyBorder="1" applyAlignment="1" applyProtection="1">
      <alignment horizontal="right" vertical="center" wrapText="1"/>
      <protection/>
    </xf>
    <xf numFmtId="0" fontId="8" fillId="49" borderId="20" xfId="293" applyFont="1" applyFill="1" applyBorder="1" applyAlignment="1" applyProtection="1">
      <alignment horizontal="left" vertical="top"/>
      <protection/>
    </xf>
    <xf numFmtId="0" fontId="0" fillId="49" borderId="20" xfId="0" applyFont="1" applyFill="1" applyBorder="1" applyAlignment="1" applyProtection="1">
      <alignment horizontal="left" vertical="center"/>
      <protection/>
    </xf>
    <xf numFmtId="0" fontId="0" fillId="49" borderId="20" xfId="291" applyFont="1" applyFill="1" applyBorder="1" applyAlignment="1" applyProtection="1">
      <alignment horizontal="center" vertical="center" wrapText="1"/>
      <protection/>
    </xf>
    <xf numFmtId="3" fontId="0" fillId="49" borderId="20" xfId="291" applyNumberFormat="1" applyFont="1" applyFill="1" applyBorder="1" applyAlignment="1" applyProtection="1">
      <alignment vertical="center" wrapText="1"/>
      <protection/>
    </xf>
    <xf numFmtId="49" fontId="0" fillId="47" borderId="0" xfId="0" applyNumberFormat="1" applyFont="1" applyFill="1" applyAlignment="1">
      <alignment/>
    </xf>
    <xf numFmtId="49" fontId="0" fillId="47" borderId="0" xfId="0" applyNumberFormat="1" applyFont="1" applyFill="1" applyAlignment="1">
      <alignment/>
    </xf>
    <xf numFmtId="49" fontId="0" fillId="47" borderId="0" xfId="0" applyNumberFormat="1" applyFont="1" applyFill="1" applyBorder="1" applyAlignment="1">
      <alignment/>
    </xf>
    <xf numFmtId="210" fontId="0" fillId="47" borderId="0" xfId="0" applyNumberFormat="1" applyFont="1" applyFill="1" applyAlignment="1">
      <alignment/>
    </xf>
    <xf numFmtId="49" fontId="0" fillId="47" borderId="0" xfId="0" applyNumberFormat="1" applyFont="1" applyFill="1" applyAlignment="1">
      <alignment horizontal="center"/>
    </xf>
    <xf numFmtId="49" fontId="18" fillId="47" borderId="0" xfId="0" applyNumberFormat="1" applyFont="1" applyFill="1" applyBorder="1" applyAlignment="1">
      <alignment horizontal="center"/>
    </xf>
    <xf numFmtId="49" fontId="18" fillId="47" borderId="0" xfId="0" applyNumberFormat="1" applyFont="1" applyFill="1" applyBorder="1" applyAlignment="1">
      <alignment/>
    </xf>
    <xf numFmtId="210" fontId="0" fillId="47" borderId="0" xfId="0" applyNumberFormat="1" applyFont="1" applyFill="1" applyBorder="1" applyAlignment="1">
      <alignment/>
    </xf>
    <xf numFmtId="49" fontId="0" fillId="47" borderId="20" xfId="0" applyNumberFormat="1" applyFont="1" applyFill="1" applyBorder="1" applyAlignment="1" applyProtection="1">
      <alignment horizontal="center" vertical="center" wrapText="1"/>
      <protection/>
    </xf>
    <xf numFmtId="49" fontId="0" fillId="47" borderId="20" xfId="0" applyNumberFormat="1" applyFont="1" applyFill="1" applyBorder="1" applyAlignment="1">
      <alignment horizontal="center" vertical="center" wrapText="1"/>
    </xf>
    <xf numFmtId="49" fontId="18" fillId="47" borderId="20" xfId="0" applyNumberFormat="1" applyFont="1" applyFill="1" applyBorder="1" applyAlignment="1" applyProtection="1">
      <alignment horizontal="center" vertical="center"/>
      <protection/>
    </xf>
    <xf numFmtId="49" fontId="18" fillId="47" borderId="39" xfId="0" applyNumberFormat="1" applyFont="1" applyFill="1" applyBorder="1" applyAlignment="1" applyProtection="1">
      <alignment horizontal="center" vertical="center"/>
      <protection/>
    </xf>
    <xf numFmtId="210" fontId="0" fillId="47" borderId="20" xfId="291" applyNumberFormat="1" applyFont="1" applyFill="1" applyBorder="1" applyAlignment="1" applyProtection="1">
      <alignment horizontal="right" vertical="center" wrapText="1"/>
      <protection/>
    </xf>
    <xf numFmtId="4" fontId="0" fillId="47" borderId="20" xfId="307" applyNumberFormat="1" applyFont="1" applyFill="1" applyBorder="1" applyAlignment="1">
      <alignment horizontal="center" vertical="center" wrapText="1"/>
    </xf>
    <xf numFmtId="215" fontId="0" fillId="47" borderId="0" xfId="0" applyNumberFormat="1" applyFont="1" applyFill="1" applyAlignment="1">
      <alignment/>
    </xf>
    <xf numFmtId="0" fontId="0" fillId="47" borderId="20" xfId="291" applyFont="1" applyFill="1" applyBorder="1" applyAlignment="1" applyProtection="1">
      <alignment horizontal="center" vertical="center" wrapText="1"/>
      <protection/>
    </xf>
    <xf numFmtId="0" fontId="0" fillId="47" borderId="20" xfId="0" applyFont="1" applyFill="1" applyBorder="1" applyAlignment="1" applyProtection="1">
      <alignment horizontal="left" vertical="center"/>
      <protection/>
    </xf>
    <xf numFmtId="210" fontId="0" fillId="47" borderId="20" xfId="291" applyNumberFormat="1" applyFont="1" applyFill="1" applyBorder="1" applyAlignment="1">
      <alignment vertical="center" wrapText="1"/>
      <protection/>
    </xf>
    <xf numFmtId="4" fontId="0" fillId="47" borderId="20" xfId="307" applyNumberFormat="1" applyFont="1" applyFill="1" applyBorder="1" applyAlignment="1">
      <alignment vertical="center" wrapText="1"/>
    </xf>
    <xf numFmtId="210" fontId="0" fillId="47" borderId="20" xfId="0" applyNumberFormat="1" applyFont="1" applyFill="1" applyBorder="1" applyAlignment="1" applyProtection="1">
      <alignment horizontal="left" vertical="center"/>
      <protection/>
    </xf>
    <xf numFmtId="210" fontId="0" fillId="47" borderId="20" xfId="0" applyNumberFormat="1" applyFont="1" applyFill="1" applyBorder="1" applyAlignment="1" applyProtection="1">
      <alignment vertical="center"/>
      <protection/>
    </xf>
    <xf numFmtId="210" fontId="0" fillId="47" borderId="20" xfId="0" applyNumberFormat="1" applyFont="1" applyFill="1" applyBorder="1" applyAlignment="1">
      <alignment/>
    </xf>
    <xf numFmtId="3" fontId="0" fillId="47" borderId="20" xfId="291" applyNumberFormat="1" applyFont="1" applyFill="1" applyBorder="1" applyAlignment="1" applyProtection="1">
      <alignment vertical="center" wrapText="1"/>
      <protection/>
    </xf>
    <xf numFmtId="3" fontId="0" fillId="47" borderId="20" xfId="291" applyNumberFormat="1" applyFont="1" applyFill="1" applyBorder="1" applyAlignment="1">
      <alignment vertical="center" wrapText="1"/>
      <protection/>
    </xf>
    <xf numFmtId="0" fontId="0" fillId="47" borderId="20" xfId="289" applyFont="1" applyFill="1" applyBorder="1" applyAlignment="1">
      <alignment horizontal="left"/>
      <protection/>
    </xf>
    <xf numFmtId="211" fontId="0" fillId="47" borderId="26" xfId="0" applyNumberFormat="1" applyFont="1" applyFill="1" applyBorder="1" applyAlignment="1" applyProtection="1">
      <alignment vertical="center" wrapText="1"/>
      <protection/>
    </xf>
    <xf numFmtId="3" fontId="0" fillId="47" borderId="20" xfId="0" applyNumberFormat="1" applyFont="1" applyFill="1" applyBorder="1" applyAlignment="1" applyProtection="1">
      <alignment vertical="center"/>
      <protection/>
    </xf>
    <xf numFmtId="49" fontId="0" fillId="47" borderId="20" xfId="0" applyNumberFormat="1" applyFont="1" applyFill="1" applyBorder="1" applyAlignment="1" applyProtection="1">
      <alignment horizontal="left" vertical="center"/>
      <protection/>
    </xf>
    <xf numFmtId="3" fontId="0" fillId="47" borderId="20" xfId="301" applyNumberFormat="1" applyFont="1" applyFill="1" applyBorder="1" applyAlignment="1" applyProtection="1">
      <alignment vertical="center"/>
      <protection/>
    </xf>
    <xf numFmtId="3" fontId="0" fillId="47" borderId="20" xfId="0" applyNumberFormat="1" applyFont="1" applyFill="1" applyBorder="1" applyAlignment="1">
      <alignment/>
    </xf>
    <xf numFmtId="3" fontId="0" fillId="47" borderId="20" xfId="307" applyNumberFormat="1" applyFont="1" applyFill="1" applyBorder="1" applyAlignment="1" applyProtection="1">
      <alignment vertical="center" wrapText="1"/>
      <protection/>
    </xf>
    <xf numFmtId="3" fontId="0" fillId="47" borderId="20" xfId="307" applyNumberFormat="1" applyFont="1" applyFill="1" applyBorder="1" applyAlignment="1">
      <alignment vertical="center" wrapText="1"/>
    </xf>
    <xf numFmtId="49" fontId="0" fillId="47" borderId="20" xfId="291" applyNumberFormat="1" applyFont="1" applyFill="1" applyBorder="1" applyAlignment="1" applyProtection="1">
      <alignment horizontal="center" vertical="center" wrapText="1"/>
      <protection/>
    </xf>
    <xf numFmtId="3" fontId="0" fillId="47" borderId="20" xfId="0" applyNumberFormat="1" applyFont="1" applyFill="1" applyBorder="1" applyAlignment="1" applyProtection="1">
      <alignment horizontal="left" vertical="center" wrapText="1" shrinkToFit="1"/>
      <protection locked="0"/>
    </xf>
    <xf numFmtId="3" fontId="0" fillId="47" borderId="20" xfId="291" applyNumberFormat="1" applyFont="1" applyFill="1" applyBorder="1" applyAlignment="1" applyProtection="1">
      <alignment vertical="center" shrinkToFit="1"/>
      <protection/>
    </xf>
    <xf numFmtId="3" fontId="0" fillId="47" borderId="20" xfId="291" applyNumberFormat="1" applyFont="1" applyFill="1" applyBorder="1" applyAlignment="1" applyProtection="1">
      <alignment vertical="center" shrinkToFit="1"/>
      <protection locked="0"/>
    </xf>
    <xf numFmtId="3" fontId="0" fillId="47" borderId="20" xfId="291" applyNumberFormat="1" applyFont="1" applyFill="1" applyBorder="1" applyAlignment="1">
      <alignment vertical="center" shrinkToFit="1"/>
      <protection/>
    </xf>
    <xf numFmtId="49" fontId="0" fillId="47" borderId="20" xfId="0" applyNumberFormat="1" applyFont="1" applyFill="1" applyBorder="1" applyAlignment="1" applyProtection="1">
      <alignment vertical="center"/>
      <protection/>
    </xf>
    <xf numFmtId="3" fontId="0" fillId="47" borderId="20" xfId="93" applyNumberFormat="1" applyFont="1" applyFill="1" applyBorder="1" applyAlignment="1" applyProtection="1">
      <alignment/>
      <protection locked="0"/>
    </xf>
    <xf numFmtId="3" fontId="0" fillId="47" borderId="0" xfId="0" applyNumberFormat="1" applyFont="1" applyFill="1" applyAlignment="1" applyProtection="1">
      <alignment/>
      <protection locked="0"/>
    </xf>
    <xf numFmtId="211" fontId="0" fillId="47" borderId="20" xfId="0" applyNumberFormat="1" applyFont="1" applyFill="1" applyBorder="1" applyAlignment="1" applyProtection="1">
      <alignment vertical="center"/>
      <protection/>
    </xf>
    <xf numFmtId="3" fontId="0" fillId="47" borderId="20" xfId="291" applyNumberFormat="1" applyFont="1" applyFill="1" applyBorder="1" applyAlignment="1" applyProtection="1">
      <alignment vertical="center"/>
      <protection/>
    </xf>
    <xf numFmtId="3" fontId="0" fillId="47" borderId="20" xfId="291" applyNumberFormat="1" applyFont="1" applyFill="1" applyBorder="1" applyAlignment="1">
      <alignment/>
      <protection/>
    </xf>
    <xf numFmtId="3" fontId="0" fillId="47" borderId="20" xfId="291" applyNumberFormat="1" applyFont="1" applyFill="1" applyBorder="1" applyAlignment="1" applyProtection="1">
      <alignment vertical="center"/>
      <protection hidden="1"/>
    </xf>
    <xf numFmtId="3" fontId="0" fillId="47" borderId="20" xfId="301" applyNumberFormat="1" applyFont="1" applyFill="1" applyBorder="1" applyAlignment="1" applyProtection="1">
      <alignment vertical="center"/>
      <protection hidden="1"/>
    </xf>
    <xf numFmtId="3" fontId="0" fillId="47" borderId="20" xfId="291" applyNumberFormat="1" applyFont="1" applyFill="1" applyBorder="1" applyAlignment="1" applyProtection="1">
      <alignment/>
      <protection hidden="1"/>
    </xf>
    <xf numFmtId="3" fontId="0" fillId="47" borderId="20" xfId="97" applyNumberFormat="1" applyFont="1" applyFill="1" applyBorder="1" applyAlignment="1" applyProtection="1">
      <alignment/>
      <protection locked="0"/>
    </xf>
    <xf numFmtId="3" fontId="0" fillId="47" borderId="20" xfId="0" applyNumberFormat="1" applyFont="1" applyFill="1" applyBorder="1" applyAlignment="1" applyProtection="1">
      <alignment vertical="center"/>
      <protection/>
    </xf>
    <xf numFmtId="3" fontId="0" fillId="47" borderId="21" xfId="0" applyNumberFormat="1" applyFont="1" applyFill="1" applyBorder="1" applyAlignment="1" applyProtection="1">
      <alignment vertical="center"/>
      <protection/>
    </xf>
    <xf numFmtId="3" fontId="0" fillId="47" borderId="21" xfId="291" applyNumberFormat="1" applyFont="1" applyFill="1" applyBorder="1" applyAlignment="1" applyProtection="1">
      <alignment vertical="center"/>
      <protection/>
    </xf>
    <xf numFmtId="3" fontId="0" fillId="47" borderId="20" xfId="0" applyNumberFormat="1" applyFont="1" applyFill="1" applyBorder="1" applyAlignment="1" applyProtection="1">
      <alignment vertical="center"/>
      <protection hidden="1"/>
    </xf>
    <xf numFmtId="3" fontId="0" fillId="47" borderId="20" xfId="0" applyNumberFormat="1" applyFont="1" applyFill="1" applyBorder="1" applyAlignment="1" applyProtection="1">
      <alignment/>
      <protection hidden="1"/>
    </xf>
    <xf numFmtId="0" fontId="0" fillId="47" borderId="20" xfId="0" applyNumberFormat="1" applyFont="1" applyFill="1" applyBorder="1" applyAlignment="1" applyProtection="1">
      <alignment horizontal="left" vertical="center" wrapText="1"/>
      <protection/>
    </xf>
    <xf numFmtId="49" fontId="0" fillId="47" borderId="0" xfId="0" applyNumberFormat="1" applyFont="1" applyFill="1" applyAlignment="1">
      <alignment horizontal="left" vertical="center" wrapText="1"/>
    </xf>
    <xf numFmtId="0" fontId="0" fillId="47" borderId="21" xfId="0" applyNumberFormat="1" applyFont="1" applyFill="1" applyBorder="1" applyAlignment="1" applyProtection="1">
      <alignment horizontal="left" vertical="center" wrapText="1"/>
      <protection/>
    </xf>
    <xf numFmtId="3" fontId="0" fillId="47" borderId="20" xfId="0" applyNumberFormat="1" applyFont="1" applyFill="1" applyBorder="1" applyAlignment="1">
      <alignment vertical="center"/>
    </xf>
    <xf numFmtId="3" fontId="0" fillId="49" borderId="20" xfId="0" applyNumberFormat="1" applyFont="1" applyFill="1" applyBorder="1" applyAlignment="1" applyProtection="1">
      <alignment vertical="center" wrapText="1"/>
      <protection/>
    </xf>
    <xf numFmtId="210" fontId="0" fillId="47" borderId="20" xfId="0" applyNumberFormat="1" applyFont="1" applyFill="1" applyBorder="1" applyAlignment="1" applyProtection="1">
      <alignment horizontal="right" vertical="center"/>
      <protection/>
    </xf>
    <xf numFmtId="210" fontId="0" fillId="47" borderId="20" xfId="291" applyNumberFormat="1" applyFont="1" applyFill="1" applyBorder="1" applyAlignment="1" applyProtection="1">
      <alignment horizontal="right" vertical="center"/>
      <protection/>
    </xf>
    <xf numFmtId="210" fontId="0" fillId="47" borderId="20" xfId="305" applyNumberFormat="1" applyFont="1" applyFill="1" applyBorder="1" applyAlignment="1" applyProtection="1">
      <alignment horizontal="right" vertical="center"/>
      <protection/>
    </xf>
    <xf numFmtId="210" fontId="0" fillId="47" borderId="20" xfId="0" applyNumberFormat="1" applyFont="1" applyFill="1" applyBorder="1" applyAlignment="1">
      <alignment horizontal="right"/>
    </xf>
    <xf numFmtId="210" fontId="0" fillId="47" borderId="20" xfId="305" applyNumberFormat="1" applyFont="1" applyFill="1" applyBorder="1" applyAlignment="1" applyProtection="1">
      <alignment vertical="center"/>
      <protection/>
    </xf>
    <xf numFmtId="210" fontId="0" fillId="47" borderId="20" xfId="0" applyNumberFormat="1" applyFont="1" applyFill="1" applyBorder="1" applyAlignment="1">
      <alignment horizontal="right" vertical="center"/>
    </xf>
    <xf numFmtId="210" fontId="0" fillId="47" borderId="0" xfId="0" applyNumberFormat="1" applyFont="1" applyFill="1" applyAlignment="1">
      <alignment horizontal="right"/>
    </xf>
    <xf numFmtId="3" fontId="0" fillId="47" borderId="20" xfId="0" applyNumberFormat="1" applyFont="1" applyFill="1" applyBorder="1" applyAlignment="1" applyProtection="1">
      <alignment horizontal="right" vertical="center"/>
      <protection/>
    </xf>
    <xf numFmtId="210" fontId="8" fillId="47" borderId="20" xfId="0" applyNumberFormat="1" applyFont="1" applyFill="1" applyBorder="1" applyAlignment="1" applyProtection="1">
      <alignment vertical="center"/>
      <protection/>
    </xf>
    <xf numFmtId="210" fontId="8" fillId="47" borderId="20" xfId="0" applyNumberFormat="1" applyFont="1" applyFill="1" applyBorder="1" applyAlignment="1" applyProtection="1">
      <alignment horizontal="right" vertical="center"/>
      <protection/>
    </xf>
    <xf numFmtId="210" fontId="8" fillId="47" borderId="20" xfId="305" applyNumberFormat="1" applyFont="1" applyFill="1" applyBorder="1" applyAlignment="1" applyProtection="1">
      <alignment vertical="center"/>
      <protection/>
    </xf>
    <xf numFmtId="210" fontId="8" fillId="47" borderId="20" xfId="0" applyNumberFormat="1" applyFont="1" applyFill="1" applyBorder="1" applyAlignment="1">
      <alignment/>
    </xf>
    <xf numFmtId="210" fontId="8" fillId="47" borderId="20" xfId="291" applyNumberFormat="1" applyFont="1" applyFill="1" applyBorder="1" applyAlignment="1" applyProtection="1">
      <alignment horizontal="right" vertical="center"/>
      <protection/>
    </xf>
    <xf numFmtId="210" fontId="8" fillId="47" borderId="20" xfId="0" applyNumberFormat="1" applyFont="1" applyFill="1" applyBorder="1" applyAlignment="1">
      <alignment horizontal="right"/>
    </xf>
    <xf numFmtId="210" fontId="8" fillId="47" borderId="20" xfId="305" applyNumberFormat="1" applyFont="1" applyFill="1" applyBorder="1" applyAlignment="1" applyProtection="1">
      <alignment horizontal="right" vertical="center"/>
      <protection/>
    </xf>
    <xf numFmtId="210" fontId="8" fillId="47" borderId="20" xfId="95" applyNumberFormat="1" applyFont="1" applyFill="1" applyBorder="1" applyAlignment="1">
      <alignment horizontal="right"/>
    </xf>
    <xf numFmtId="210" fontId="8" fillId="47" borderId="20" xfId="95" applyNumberFormat="1" applyFont="1" applyFill="1" applyBorder="1" applyAlignment="1">
      <alignment horizontal="right" vertical="center"/>
    </xf>
    <xf numFmtId="210" fontId="8" fillId="47" borderId="20" xfId="0" applyNumberFormat="1" applyFont="1" applyFill="1" applyBorder="1" applyAlignment="1">
      <alignment horizontal="right" vertical="center"/>
    </xf>
    <xf numFmtId="0" fontId="28" fillId="47" borderId="0" xfId="0" applyNumberFormat="1" applyFont="1" applyFill="1" applyBorder="1" applyAlignment="1">
      <alignment vertical="center"/>
    </xf>
    <xf numFmtId="0" fontId="25" fillId="47" borderId="0" xfId="0" applyNumberFormat="1" applyFont="1" applyFill="1" applyBorder="1" applyAlignment="1">
      <alignment vertical="center"/>
    </xf>
    <xf numFmtId="0" fontId="25" fillId="47" borderId="0" xfId="0" applyNumberFormat="1" applyFont="1" applyFill="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0"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1"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0" fontId="4" fillId="0" borderId="38" xfId="0" applyFont="1" applyFill="1" applyBorder="1" applyAlignment="1">
      <alignment/>
    </xf>
    <xf numFmtId="49" fontId="7" fillId="0" borderId="26" xfId="0" applyNumberFormat="1" applyFont="1" applyFill="1" applyBorder="1" applyAlignment="1">
      <alignment horizontal="center" vertic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28" fillId="0" borderId="0" xfId="287" applyNumberFormat="1" applyFont="1" applyAlignment="1">
      <alignment horizontal="center" wrapText="1"/>
      <protection/>
    </xf>
    <xf numFmtId="49" fontId="25" fillId="0" borderId="0" xfId="287" applyNumberFormat="1" applyFont="1" applyAlignment="1">
      <alignment horizontal="center"/>
      <protection/>
    </xf>
    <xf numFmtId="49" fontId="25" fillId="0" borderId="0" xfId="287" applyNumberFormat="1" applyFont="1" applyBorder="1" applyAlignment="1">
      <alignment horizontal="center" wrapText="1"/>
      <protection/>
    </xf>
    <xf numFmtId="49" fontId="65" fillId="0" borderId="0" xfId="287" applyNumberFormat="1" applyFont="1" applyBorder="1" applyAlignment="1">
      <alignment horizontal="center" wrapText="1"/>
      <protection/>
    </xf>
    <xf numFmtId="49" fontId="40" fillId="0" borderId="0" xfId="287" applyNumberFormat="1" applyFont="1" applyBorder="1" applyAlignment="1">
      <alignment horizontal="center" wrapText="1"/>
      <protection/>
    </xf>
    <xf numFmtId="49" fontId="0" fillId="3" borderId="35" xfId="287" applyNumberFormat="1" applyFont="1" applyFill="1" applyBorder="1" applyAlignment="1">
      <alignment horizontal="center"/>
      <protection/>
    </xf>
    <xf numFmtId="49" fontId="0" fillId="3" borderId="19" xfId="287" applyNumberFormat="1" applyFont="1" applyFill="1" applyBorder="1" applyAlignment="1">
      <alignment horizontal="center"/>
      <protection/>
    </xf>
    <xf numFmtId="49" fontId="0" fillId="3" borderId="36" xfId="287" applyNumberFormat="1" applyFont="1" applyFill="1" applyBorder="1" applyAlignment="1">
      <alignment horizontal="center"/>
      <protection/>
    </xf>
    <xf numFmtId="49" fontId="18" fillId="0" borderId="22" xfId="287" applyNumberFormat="1" applyFont="1" applyFill="1" applyBorder="1" applyAlignment="1">
      <alignment horizontal="center" vertical="center"/>
      <protection/>
    </xf>
    <xf numFmtId="49" fontId="7" fillId="0" borderId="20" xfId="287" applyNumberFormat="1" applyFont="1" applyFill="1" applyBorder="1" applyAlignment="1">
      <alignment horizontal="center" vertical="center" wrapText="1"/>
      <protection/>
    </xf>
    <xf numFmtId="49" fontId="7" fillId="0" borderId="26" xfId="287" applyNumberFormat="1" applyFont="1" applyBorder="1" applyAlignment="1">
      <alignment horizontal="center" vertical="center" wrapText="1"/>
      <protection/>
    </xf>
    <xf numFmtId="49" fontId="7" fillId="0" borderId="41" xfId="287" applyNumberFormat="1" applyFont="1" applyBorder="1" applyAlignment="1">
      <alignment horizontal="center" vertical="center" wrapText="1"/>
      <protection/>
    </xf>
    <xf numFmtId="49" fontId="7" fillId="0" borderId="25" xfId="287" applyNumberFormat="1" applyFont="1" applyBorder="1" applyAlignment="1">
      <alignment horizontal="center" vertical="center" wrapText="1"/>
      <protection/>
    </xf>
    <xf numFmtId="3" fontId="34" fillId="47" borderId="38" xfId="287" applyNumberFormat="1" applyFont="1" applyFill="1" applyBorder="1" applyAlignment="1" applyProtection="1">
      <alignment horizontal="center" vertical="center" wrapText="1"/>
      <protection/>
    </xf>
    <xf numFmtId="3" fontId="34" fillId="47" borderId="23" xfId="287" applyNumberFormat="1" applyFont="1" applyFill="1" applyBorder="1" applyAlignment="1" applyProtection="1">
      <alignment horizontal="center" vertical="center" wrapText="1"/>
      <protection/>
    </xf>
    <xf numFmtId="49" fontId="7" fillId="0" borderId="20" xfId="287" applyNumberFormat="1" applyFont="1" applyFill="1" applyBorder="1" applyAlignment="1" applyProtection="1">
      <alignment horizontal="center" vertical="center" wrapText="1"/>
      <protection/>
    </xf>
    <xf numFmtId="3" fontId="7" fillId="47" borderId="21" xfId="287" applyNumberFormat="1" applyFont="1" applyFill="1" applyBorder="1" applyAlignment="1" applyProtection="1">
      <alignment horizontal="center" vertical="center" wrapText="1"/>
      <protection/>
    </xf>
    <xf numFmtId="3" fontId="7" fillId="47" borderId="23" xfId="287" applyNumberFormat="1" applyFont="1" applyFill="1" applyBorder="1" applyAlignment="1" applyProtection="1">
      <alignment horizontal="center" vertical="center" wrapText="1"/>
      <protection/>
    </xf>
    <xf numFmtId="49" fontId="14" fillId="47" borderId="0" xfId="287" applyNumberFormat="1" applyFont="1" applyFill="1" applyAlignment="1">
      <alignment horizontal="center" vertical="center" wrapText="1"/>
      <protection/>
    </xf>
    <xf numFmtId="49" fontId="3" fillId="0" borderId="0" xfId="287" applyNumberFormat="1" applyFont="1" applyAlignment="1">
      <alignment horizontal="left"/>
      <protection/>
    </xf>
    <xf numFmtId="49" fontId="33" fillId="0" borderId="0" xfId="287" applyNumberFormat="1" applyFont="1" applyAlignment="1">
      <alignment horizontal="center"/>
      <protection/>
    </xf>
    <xf numFmtId="49" fontId="0" fillId="0" borderId="0" xfId="287" applyNumberFormat="1" applyFont="1" applyAlignment="1">
      <alignment horizontal="left"/>
      <protection/>
    </xf>
    <xf numFmtId="49" fontId="3" fillId="0" borderId="0" xfId="287" applyNumberFormat="1" applyFont="1" applyBorder="1" applyAlignment="1">
      <alignment horizontal="left" wrapText="1"/>
      <protection/>
    </xf>
    <xf numFmtId="49" fontId="0" fillId="0" borderId="0" xfId="287" applyNumberFormat="1" applyFont="1" applyBorder="1" applyAlignment="1">
      <alignment horizontal="left" wrapText="1"/>
      <protection/>
    </xf>
    <xf numFmtId="49" fontId="18" fillId="0" borderId="0" xfId="287" applyNumberFormat="1" applyFont="1" applyAlignment="1">
      <alignment horizontal="left"/>
      <protection/>
    </xf>
    <xf numFmtId="49" fontId="7" fillId="44" borderId="26" xfId="287" applyNumberFormat="1" applyFont="1" applyFill="1" applyBorder="1" applyAlignment="1">
      <alignment horizontal="center" vertical="center"/>
      <protection/>
    </xf>
    <xf numFmtId="49" fontId="7" fillId="44" borderId="25" xfId="287" applyNumberFormat="1" applyFont="1" applyFill="1" applyBorder="1" applyAlignment="1">
      <alignment horizontal="center" vertical="center"/>
      <protection/>
    </xf>
    <xf numFmtId="49" fontId="31" fillId="0" borderId="0" xfId="287" applyNumberFormat="1" applyFont="1" applyBorder="1" applyAlignment="1">
      <alignment horizontal="center" wrapText="1"/>
      <protection/>
    </xf>
    <xf numFmtId="49" fontId="7" fillId="0" borderId="26" xfId="287" applyNumberFormat="1" applyFont="1" applyFill="1" applyBorder="1" applyAlignment="1">
      <alignment horizontal="center" vertical="center" wrapText="1"/>
      <protection/>
    </xf>
    <xf numFmtId="49" fontId="27" fillId="0" borderId="25" xfId="287" applyNumberFormat="1" applyFont="1" applyFill="1" applyBorder="1" applyAlignment="1">
      <alignment horizontal="center" vertical="center" wrapText="1"/>
      <protection/>
    </xf>
    <xf numFmtId="0" fontId="25" fillId="0" borderId="0" xfId="287" applyFont="1" applyAlignment="1">
      <alignment horizontal="center"/>
      <protection/>
    </xf>
    <xf numFmtId="49" fontId="25" fillId="47" borderId="0" xfId="287" applyNumberFormat="1" applyFont="1" applyFill="1" applyAlignment="1">
      <alignment horizontal="center"/>
      <protection/>
    </xf>
    <xf numFmtId="49" fontId="7" fillId="0" borderId="25" xfId="287" applyNumberFormat="1" applyFont="1" applyFill="1" applyBorder="1" applyAlignment="1">
      <alignment horizontal="center" vertical="center" wrapText="1"/>
      <protection/>
    </xf>
    <xf numFmtId="0" fontId="55" fillId="3" borderId="26" xfId="287" applyNumberFormat="1" applyFont="1" applyFill="1" applyBorder="1" applyAlignment="1">
      <alignment horizontal="center" vertical="center" wrapText="1"/>
      <protection/>
    </xf>
    <xf numFmtId="0" fontId="55" fillId="3" borderId="25" xfId="287" applyNumberFormat="1" applyFont="1" applyFill="1" applyBorder="1" applyAlignment="1">
      <alignment horizontal="center" vertical="center" wrapText="1"/>
      <protection/>
    </xf>
    <xf numFmtId="0" fontId="56" fillId="3" borderId="26" xfId="287" applyNumberFormat="1" applyFont="1" applyFill="1" applyBorder="1" applyAlignment="1">
      <alignment horizontal="center" vertical="center" wrapText="1"/>
      <protection/>
    </xf>
    <xf numFmtId="0" fontId="56" fillId="3" borderId="25" xfId="287" applyNumberFormat="1" applyFont="1" applyFill="1" applyBorder="1" applyAlignment="1">
      <alignment horizontal="center" vertical="center" wrapText="1"/>
      <protection/>
    </xf>
    <xf numFmtId="0" fontId="16" fillId="0" borderId="20" xfId="287" applyNumberFormat="1" applyFont="1" applyBorder="1" applyAlignment="1">
      <alignment horizontal="center" vertical="center" wrapText="1"/>
      <protection/>
    </xf>
    <xf numFmtId="0" fontId="7" fillId="0" borderId="35" xfId="287" applyNumberFormat="1" applyFont="1" applyBorder="1" applyAlignment="1">
      <alignment horizontal="center" vertical="center" wrapText="1"/>
      <protection/>
    </xf>
    <xf numFmtId="0" fontId="7" fillId="0" borderId="36" xfId="287" applyNumberFormat="1" applyFont="1" applyBorder="1" applyAlignment="1">
      <alignment horizontal="center" vertical="center" wrapText="1"/>
      <protection/>
    </xf>
    <xf numFmtId="0" fontId="7" fillId="0" borderId="24" xfId="287" applyNumberFormat="1" applyFont="1" applyBorder="1" applyAlignment="1">
      <alignment horizontal="center" vertical="center" wrapText="1"/>
      <protection/>
    </xf>
    <xf numFmtId="0" fontId="7" fillId="0" borderId="40" xfId="287" applyNumberFormat="1" applyFont="1" applyBorder="1" applyAlignment="1">
      <alignment horizontal="center" vertical="center" wrapText="1"/>
      <protection/>
    </xf>
    <xf numFmtId="49" fontId="3" fillId="0" borderId="0" xfId="287" applyNumberFormat="1" applyFont="1" applyFill="1" applyAlignment="1">
      <alignment horizontal="left"/>
      <protection/>
    </xf>
    <xf numFmtId="49" fontId="6" fillId="0" borderId="20" xfId="287" applyNumberFormat="1" applyFont="1" applyFill="1" applyBorder="1" applyAlignment="1">
      <alignment horizontal="center" vertical="center" wrapText="1"/>
      <protection/>
    </xf>
    <xf numFmtId="49" fontId="6" fillId="0" borderId="26" xfId="287" applyNumberFormat="1" applyFont="1" applyFill="1" applyBorder="1" applyAlignment="1">
      <alignment horizontal="center" vertical="center" wrapText="1"/>
      <protection/>
    </xf>
    <xf numFmtId="49" fontId="6" fillId="0" borderId="41" xfId="287" applyNumberFormat="1" applyFont="1" applyFill="1" applyBorder="1" applyAlignment="1">
      <alignment horizontal="center" vertical="center" wrapText="1"/>
      <protection/>
    </xf>
    <xf numFmtId="49" fontId="6" fillId="0" borderId="25" xfId="287" applyNumberFormat="1" applyFont="1" applyFill="1" applyBorder="1" applyAlignment="1">
      <alignment horizontal="center" vertical="center" wrapText="1"/>
      <protection/>
    </xf>
    <xf numFmtId="49" fontId="18" fillId="0" borderId="0" xfId="287" applyNumberFormat="1" applyFont="1" applyFill="1" applyBorder="1" applyAlignment="1">
      <alignment horizontal="left"/>
      <protection/>
    </xf>
    <xf numFmtId="49" fontId="0" fillId="0" borderId="0" xfId="287" applyNumberFormat="1" applyFont="1" applyFill="1" applyAlignment="1">
      <alignment horizontal="justify" wrapText="1"/>
      <protection/>
    </xf>
    <xf numFmtId="49" fontId="3" fillId="0" borderId="0" xfId="287" applyNumberFormat="1" applyFont="1" applyFill="1" applyAlignment="1">
      <alignment horizontal="center" vertical="top" wrapText="1"/>
      <protection/>
    </xf>
    <xf numFmtId="49" fontId="7" fillId="44" borderId="26" xfId="287" applyNumberFormat="1" applyFont="1" applyFill="1" applyBorder="1" applyAlignment="1">
      <alignment horizontal="center"/>
      <protection/>
    </xf>
    <xf numFmtId="49" fontId="7" fillId="44" borderId="25" xfId="287" applyNumberFormat="1" applyFont="1" applyFill="1" applyBorder="1" applyAlignment="1">
      <alignment horizontal="center"/>
      <protection/>
    </xf>
    <xf numFmtId="49" fontId="21" fillId="0" borderId="26" xfId="287" applyNumberFormat="1" applyFont="1" applyFill="1" applyBorder="1" applyAlignment="1">
      <alignment horizontal="center" vertical="center" wrapText="1"/>
      <protection/>
    </xf>
    <xf numFmtId="49" fontId="21" fillId="0" borderId="25" xfId="287" applyNumberFormat="1" applyFont="1" applyFill="1" applyBorder="1" applyAlignment="1">
      <alignment horizontal="center" vertical="center" wrapText="1"/>
      <protection/>
    </xf>
    <xf numFmtId="0" fontId="6" fillId="0" borderId="35" xfId="287" applyNumberFormat="1" applyFont="1" applyFill="1" applyBorder="1" applyAlignment="1">
      <alignment horizontal="center" vertical="center" wrapText="1"/>
      <protection/>
    </xf>
    <xf numFmtId="0" fontId="6" fillId="0" borderId="36" xfId="287" applyNumberFormat="1" applyFont="1" applyFill="1" applyBorder="1" applyAlignment="1">
      <alignment horizontal="center" vertical="center" wrapText="1"/>
      <protection/>
    </xf>
    <xf numFmtId="0" fontId="6" fillId="0" borderId="24" xfId="287" applyNumberFormat="1" applyFont="1" applyFill="1" applyBorder="1" applyAlignment="1">
      <alignment horizontal="center" vertical="center" wrapText="1"/>
      <protection/>
    </xf>
    <xf numFmtId="0" fontId="6" fillId="0" borderId="40" xfId="287" applyNumberFormat="1" applyFont="1" applyFill="1" applyBorder="1" applyAlignment="1">
      <alignment horizontal="center" vertical="center" wrapText="1"/>
      <protection/>
    </xf>
    <xf numFmtId="0" fontId="6" fillId="0" borderId="27" xfId="287" applyNumberFormat="1" applyFont="1" applyFill="1" applyBorder="1" applyAlignment="1">
      <alignment horizontal="center" vertical="center" wrapText="1"/>
      <protection/>
    </xf>
    <xf numFmtId="0" fontId="6" fillId="0" borderId="37" xfId="287" applyNumberFormat="1" applyFont="1" applyFill="1" applyBorder="1" applyAlignment="1">
      <alignment horizontal="center" vertical="center" wrapText="1"/>
      <protection/>
    </xf>
    <xf numFmtId="49" fontId="6" fillId="0" borderId="38" xfId="287" applyNumberFormat="1" applyFont="1" applyFill="1" applyBorder="1" applyAlignment="1">
      <alignment horizontal="center" vertical="center" wrapText="1"/>
      <protection/>
    </xf>
    <xf numFmtId="49" fontId="6" fillId="0" borderId="23" xfId="287" applyNumberFormat="1" applyFont="1" applyFill="1" applyBorder="1" applyAlignment="1">
      <alignment horizontal="center" vertical="center" wrapText="1"/>
      <protection/>
    </xf>
    <xf numFmtId="49" fontId="68" fillId="3" borderId="26" xfId="287" applyNumberFormat="1" applyFont="1" applyFill="1" applyBorder="1" applyAlignment="1">
      <alignment horizontal="center" vertical="center" wrapText="1"/>
      <protection/>
    </xf>
    <xf numFmtId="49" fontId="68" fillId="3" borderId="25" xfId="287" applyNumberFormat="1" applyFont="1" applyFill="1" applyBorder="1" applyAlignment="1">
      <alignment horizontal="center" vertical="center" wrapText="1"/>
      <protection/>
    </xf>
    <xf numFmtId="49" fontId="67" fillId="3" borderId="26" xfId="287" applyNumberFormat="1" applyFont="1" applyFill="1" applyBorder="1" applyAlignment="1">
      <alignment horizontal="center" vertical="center" wrapText="1"/>
      <protection/>
    </xf>
    <xf numFmtId="49" fontId="67" fillId="3" borderId="25" xfId="287" applyNumberFormat="1" applyFont="1" applyFill="1" applyBorder="1" applyAlignment="1">
      <alignment horizontal="center" vertical="center" wrapText="1"/>
      <protection/>
    </xf>
    <xf numFmtId="49" fontId="3" fillId="0" borderId="20" xfId="287" applyNumberFormat="1" applyFont="1" applyFill="1" applyBorder="1" applyAlignment="1">
      <alignment horizontal="center"/>
      <protection/>
    </xf>
    <xf numFmtId="49" fontId="0" fillId="0" borderId="0" xfId="287" applyNumberFormat="1" applyFont="1" applyFill="1" applyBorder="1" applyAlignment="1">
      <alignment horizontal="left"/>
      <protection/>
    </xf>
    <xf numFmtId="49" fontId="3" fillId="0" borderId="0" xfId="287" applyNumberFormat="1" applyFont="1" applyFill="1" applyBorder="1" applyAlignment="1">
      <alignment horizontal="left"/>
      <protection/>
    </xf>
    <xf numFmtId="49" fontId="3" fillId="0" borderId="0" xfId="287" applyNumberFormat="1" applyFont="1" applyFill="1" applyBorder="1" applyAlignment="1">
      <alignment horizontal="left" wrapText="1"/>
      <protection/>
    </xf>
    <xf numFmtId="49" fontId="0" fillId="0" borderId="0" xfId="287" applyNumberFormat="1" applyFont="1" applyFill="1" applyBorder="1" applyAlignment="1">
      <alignment horizontal="left" wrapText="1"/>
      <protection/>
    </xf>
    <xf numFmtId="49" fontId="6" fillId="0" borderId="22" xfId="287" applyNumberFormat="1" applyFont="1" applyFill="1" applyBorder="1" applyAlignment="1">
      <alignment horizontal="center" vertical="center" wrapText="1"/>
      <protection/>
    </xf>
    <xf numFmtId="49" fontId="15" fillId="0" borderId="0" xfId="287" applyNumberFormat="1" applyFont="1" applyFill="1" applyBorder="1" applyAlignment="1">
      <alignment horizontal="center" vertical="center" wrapText="1"/>
      <protection/>
    </xf>
    <xf numFmtId="49" fontId="13" fillId="0" borderId="0" xfId="287" applyNumberFormat="1" applyFont="1" applyFill="1" applyAlignment="1">
      <alignment horizontal="left" wrapText="1"/>
      <protection/>
    </xf>
    <xf numFmtId="49" fontId="13" fillId="0" borderId="0" xfId="287" applyNumberFormat="1" applyFont="1" applyFill="1" applyAlignment="1">
      <alignment horizontal="center" wrapText="1"/>
      <protection/>
    </xf>
    <xf numFmtId="0" fontId="3" fillId="0" borderId="0" xfId="287" applyFont="1" applyAlignment="1">
      <alignment horizontal="center"/>
      <protection/>
    </xf>
    <xf numFmtId="49" fontId="3" fillId="47" borderId="0" xfId="287" applyNumberFormat="1" applyFont="1" applyFill="1" applyAlignment="1">
      <alignment horizontal="center"/>
      <protection/>
    </xf>
    <xf numFmtId="49" fontId="23" fillId="0" borderId="0" xfId="287" applyNumberFormat="1" applyFont="1" applyFill="1" applyBorder="1" applyAlignment="1">
      <alignment horizontal="center" wrapText="1"/>
      <protection/>
    </xf>
    <xf numFmtId="49" fontId="15" fillId="0" borderId="0" xfId="287" applyNumberFormat="1" applyFont="1" applyFill="1" applyBorder="1" applyAlignment="1">
      <alignment horizontal="center" wrapText="1"/>
      <protection/>
    </xf>
    <xf numFmtId="49" fontId="71" fillId="0" borderId="0" xfId="287" applyNumberFormat="1" applyFont="1" applyFill="1" applyAlignment="1">
      <alignment horizontal="center"/>
      <protection/>
    </xf>
    <xf numFmtId="49" fontId="18" fillId="0" borderId="0" xfId="287" applyNumberFormat="1" applyFont="1" applyFill="1" applyAlignment="1">
      <alignment horizontal="center"/>
      <protection/>
    </xf>
    <xf numFmtId="49" fontId="3" fillId="0" borderId="20" xfId="287" applyNumberFormat="1" applyFont="1" applyFill="1" applyBorder="1" applyAlignment="1">
      <alignment horizontal="center" vertical="center" wrapText="1"/>
      <protection/>
    </xf>
    <xf numFmtId="49" fontId="20" fillId="0" borderId="20" xfId="287" applyNumberFormat="1" applyFont="1" applyFill="1" applyBorder="1" applyAlignment="1">
      <alignment horizontal="center" vertical="center" wrapText="1"/>
      <protection/>
    </xf>
    <xf numFmtId="49" fontId="3" fillId="0" borderId="20" xfId="287" applyNumberFormat="1" applyFont="1" applyBorder="1" applyAlignment="1">
      <alignment horizontal="center"/>
      <protection/>
    </xf>
    <xf numFmtId="49" fontId="14" fillId="0" borderId="0" xfId="287" applyNumberFormat="1" applyFont="1" applyAlignment="1">
      <alignment horizontal="center" wrapText="1"/>
      <protection/>
    </xf>
    <xf numFmtId="49" fontId="18" fillId="0" borderId="22" xfId="287" applyNumberFormat="1" applyFont="1" applyBorder="1" applyAlignment="1">
      <alignment horizontal="left"/>
      <protection/>
    </xf>
    <xf numFmtId="49" fontId="18" fillId="0" borderId="0" xfId="287" applyNumberFormat="1" applyFont="1" applyAlignment="1">
      <alignment horizontal="center"/>
      <protection/>
    </xf>
    <xf numFmtId="49" fontId="18" fillId="0" borderId="0" xfId="287" applyNumberFormat="1" applyFont="1" applyBorder="1" applyAlignment="1">
      <alignment horizontal="left"/>
      <protection/>
    </xf>
    <xf numFmtId="49" fontId="0" fillId="0" borderId="0" xfId="287" applyNumberFormat="1" applyFont="1" applyAlignment="1">
      <alignment horizontal="left" wrapText="1"/>
      <protection/>
    </xf>
    <xf numFmtId="49" fontId="3" fillId="0" borderId="0" xfId="287" applyNumberFormat="1" applyFont="1" applyAlignment="1">
      <alignment horizontal="left" wrapText="1"/>
      <protection/>
    </xf>
    <xf numFmtId="49" fontId="0" fillId="0" borderId="0" xfId="287" applyNumberFormat="1" applyFont="1" applyAlignment="1">
      <alignment/>
      <protection/>
    </xf>
    <xf numFmtId="49" fontId="31" fillId="0" borderId="0" xfId="287" applyNumberFormat="1" applyFont="1" applyBorder="1" applyAlignment="1">
      <alignment horizontal="center"/>
      <protection/>
    </xf>
    <xf numFmtId="49" fontId="25" fillId="0" borderId="0" xfId="287" applyNumberFormat="1" applyFont="1" applyBorder="1" applyAlignment="1">
      <alignment horizontal="center"/>
      <protection/>
    </xf>
    <xf numFmtId="49" fontId="7" fillId="0" borderId="35" xfId="287" applyNumberFormat="1" applyFont="1" applyFill="1" applyBorder="1" applyAlignment="1">
      <alignment horizontal="center" vertical="center" wrapText="1"/>
      <protection/>
    </xf>
    <xf numFmtId="49" fontId="7" fillId="0" borderId="36" xfId="287" applyNumberFormat="1" applyFont="1" applyFill="1" applyBorder="1" applyAlignment="1">
      <alignment horizontal="center" vertical="center" wrapText="1"/>
      <protection/>
    </xf>
    <xf numFmtId="49" fontId="7" fillId="0" borderId="24" xfId="287" applyNumberFormat="1" applyFont="1" applyFill="1" applyBorder="1" applyAlignment="1">
      <alignment horizontal="center" vertical="center" wrapText="1"/>
      <protection/>
    </xf>
    <xf numFmtId="49" fontId="7" fillId="0" borderId="40" xfId="287" applyNumberFormat="1" applyFont="1" applyFill="1" applyBorder="1" applyAlignment="1">
      <alignment horizontal="center" vertical="center" wrapText="1"/>
      <protection/>
    </xf>
    <xf numFmtId="49" fontId="7" fillId="0" borderId="27" xfId="287" applyNumberFormat="1" applyFont="1" applyFill="1" applyBorder="1" applyAlignment="1">
      <alignment horizontal="center" vertical="center" wrapText="1"/>
      <protection/>
    </xf>
    <xf numFmtId="49" fontId="7" fillId="0" borderId="37" xfId="287" applyNumberFormat="1" applyFont="1" applyFill="1" applyBorder="1" applyAlignment="1">
      <alignment horizontal="center" vertical="center" wrapText="1"/>
      <protection/>
    </xf>
    <xf numFmtId="49" fontId="56" fillId="3" borderId="26" xfId="287" applyNumberFormat="1" applyFont="1" applyFill="1" applyBorder="1" applyAlignment="1">
      <alignment horizontal="center" wrapText="1"/>
      <protection/>
    </xf>
    <xf numFmtId="49" fontId="56" fillId="3" borderId="25" xfId="287" applyNumberFormat="1" applyFont="1" applyFill="1" applyBorder="1" applyAlignment="1">
      <alignment horizontal="center" wrapText="1"/>
      <protection/>
    </xf>
    <xf numFmtId="49" fontId="55" fillId="3" borderId="26" xfId="287" applyNumberFormat="1" applyFont="1" applyFill="1" applyBorder="1" applyAlignment="1">
      <alignment horizontal="center" wrapText="1"/>
      <protection/>
    </xf>
    <xf numFmtId="49" fontId="55" fillId="3" borderId="25" xfId="287" applyNumberFormat="1" applyFont="1" applyFill="1" applyBorder="1" applyAlignment="1">
      <alignment horizontal="center" wrapText="1"/>
      <protection/>
    </xf>
    <xf numFmtId="49" fontId="13" fillId="0" borderId="0" xfId="287" applyNumberFormat="1" applyFont="1" applyBorder="1" applyAlignment="1">
      <alignment wrapText="1"/>
      <protection/>
    </xf>
    <xf numFmtId="49" fontId="13" fillId="0" borderId="0" xfId="287" applyNumberFormat="1" applyFont="1" applyBorder="1" applyAlignment="1">
      <alignment horizontal="center" wrapText="1"/>
      <protection/>
    </xf>
    <xf numFmtId="49" fontId="7" fillId="44" borderId="26" xfId="287" applyNumberFormat="1" applyFont="1" applyFill="1" applyBorder="1" applyAlignment="1">
      <alignment horizontal="center" vertical="center" wrapText="1"/>
      <protection/>
    </xf>
    <xf numFmtId="49" fontId="7" fillId="44" borderId="25" xfId="287" applyNumberFormat="1" applyFont="1" applyFill="1" applyBorder="1" applyAlignment="1">
      <alignment horizontal="center" vertical="center" wrapText="1"/>
      <protection/>
    </xf>
    <xf numFmtId="49" fontId="16" fillId="0" borderId="26" xfId="287" applyNumberFormat="1" applyFont="1" applyBorder="1" applyAlignment="1">
      <alignment horizontal="center" wrapText="1"/>
      <protection/>
    </xf>
    <xf numFmtId="49" fontId="16" fillId="0" borderId="25" xfId="287" applyNumberFormat="1" applyFont="1" applyBorder="1" applyAlignment="1">
      <alignment horizontal="center" wrapText="1"/>
      <protection/>
    </xf>
    <xf numFmtId="49" fontId="28" fillId="0" borderId="0" xfId="287" applyNumberFormat="1" applyFont="1" applyBorder="1" applyAlignment="1">
      <alignment horizontal="center" wrapText="1"/>
      <protection/>
    </xf>
    <xf numFmtId="49" fontId="28" fillId="0" borderId="0" xfId="287" applyNumberFormat="1" applyFont="1" applyAlignment="1">
      <alignment horizontal="center"/>
      <protection/>
    </xf>
    <xf numFmtId="49" fontId="6" fillId="0" borderId="20" xfId="289" applyNumberFormat="1" applyFont="1" applyFill="1" applyBorder="1" applyAlignment="1">
      <alignment horizontal="center" vertical="center" wrapText="1"/>
      <protection/>
    </xf>
    <xf numFmtId="49" fontId="85" fillId="3" borderId="26" xfId="289" applyNumberFormat="1" applyFont="1" applyFill="1" applyBorder="1" applyAlignment="1">
      <alignment horizontal="center" vertical="center" wrapText="1"/>
      <protection/>
    </xf>
    <xf numFmtId="49" fontId="85" fillId="3" borderId="25" xfId="289" applyNumberFormat="1" applyFont="1" applyFill="1" applyBorder="1" applyAlignment="1">
      <alignment horizontal="center" vertical="center" wrapText="1"/>
      <protection/>
    </xf>
    <xf numFmtId="49" fontId="6" fillId="0" borderId="25" xfId="289" applyNumberFormat="1" applyFont="1" applyFill="1" applyBorder="1" applyAlignment="1">
      <alignment horizontal="center" vertical="center" wrapText="1"/>
      <protection/>
    </xf>
    <xf numFmtId="49" fontId="3" fillId="0" borderId="0" xfId="289" applyNumberFormat="1" applyFont="1" applyBorder="1" applyAlignment="1">
      <alignment horizontal="left"/>
      <protection/>
    </xf>
    <xf numFmtId="49" fontId="6" fillId="0" borderId="35" xfId="289" applyNumberFormat="1" applyFont="1" applyFill="1" applyBorder="1" applyAlignment="1">
      <alignment horizontal="center" vertical="center"/>
      <protection/>
    </xf>
    <xf numFmtId="49" fontId="6" fillId="0" borderId="36" xfId="289" applyNumberFormat="1" applyFont="1" applyFill="1" applyBorder="1" applyAlignment="1">
      <alignment horizontal="center" vertical="center"/>
      <protection/>
    </xf>
    <xf numFmtId="49" fontId="6" fillId="0" borderId="24" xfId="289" applyNumberFormat="1" applyFont="1" applyFill="1" applyBorder="1" applyAlignment="1">
      <alignment horizontal="center" vertical="center"/>
      <protection/>
    </xf>
    <xf numFmtId="49" fontId="6" fillId="0" borderId="40" xfId="289" applyNumberFormat="1" applyFont="1" applyFill="1" applyBorder="1" applyAlignment="1">
      <alignment horizontal="center" vertical="center"/>
      <protection/>
    </xf>
    <xf numFmtId="49" fontId="6" fillId="0" borderId="27" xfId="289" applyNumberFormat="1" applyFont="1" applyFill="1" applyBorder="1" applyAlignment="1">
      <alignment horizontal="center" vertical="center"/>
      <protection/>
    </xf>
    <xf numFmtId="49" fontId="6" fillId="0" borderId="37" xfId="289" applyNumberFormat="1" applyFont="1" applyFill="1" applyBorder="1" applyAlignment="1">
      <alignment horizontal="center" vertical="center"/>
      <protection/>
    </xf>
    <xf numFmtId="49" fontId="14" fillId="0" borderId="0" xfId="289" applyNumberFormat="1" applyFont="1" applyFill="1" applyAlignment="1">
      <alignment horizontal="center" wrapText="1"/>
      <protection/>
    </xf>
    <xf numFmtId="49" fontId="14" fillId="0" borderId="0" xfId="289" applyNumberFormat="1" applyFont="1" applyAlignment="1">
      <alignment horizontal="center"/>
      <protection/>
    </xf>
    <xf numFmtId="49" fontId="4" fillId="0" borderId="0" xfId="289" applyNumberFormat="1" applyFont="1" applyAlignment="1">
      <alignment horizontal="left"/>
      <protection/>
    </xf>
    <xf numFmtId="49" fontId="6" fillId="0" borderId="26" xfId="289" applyNumberFormat="1" applyFont="1" applyFill="1" applyBorder="1" applyAlignment="1">
      <alignment horizontal="center" vertical="center"/>
      <protection/>
    </xf>
    <xf numFmtId="49" fontId="6" fillId="0" borderId="41" xfId="289" applyNumberFormat="1" applyFont="1" applyFill="1" applyBorder="1" applyAlignment="1">
      <alignment horizontal="center" vertical="center"/>
      <protection/>
    </xf>
    <xf numFmtId="49" fontId="3" fillId="0" borderId="0" xfId="289" applyNumberFormat="1" applyFont="1" applyFill="1" applyAlignment="1">
      <alignment horizontal="left"/>
      <protection/>
    </xf>
    <xf numFmtId="49" fontId="33" fillId="0" borderId="0" xfId="289" applyNumberFormat="1" applyFont="1" applyAlignment="1">
      <alignment horizontal="center"/>
      <protection/>
    </xf>
    <xf numFmtId="49" fontId="18" fillId="0" borderId="0" xfId="289" applyNumberFormat="1" applyFont="1" applyBorder="1" applyAlignment="1">
      <alignment horizontal="left"/>
      <protection/>
    </xf>
    <xf numFmtId="49" fontId="6" fillId="0" borderId="26" xfId="289" applyNumberFormat="1" applyFont="1" applyFill="1" applyBorder="1" applyAlignment="1">
      <alignment horizontal="center" vertical="center" wrapText="1"/>
      <protection/>
    </xf>
    <xf numFmtId="49" fontId="86" fillId="3" borderId="26" xfId="289" applyNumberFormat="1" applyFont="1" applyFill="1" applyBorder="1" applyAlignment="1">
      <alignment horizontal="center" vertical="center" wrapText="1"/>
      <protection/>
    </xf>
    <xf numFmtId="49" fontId="86" fillId="3" borderId="25" xfId="289" applyNumberFormat="1" applyFont="1" applyFill="1" applyBorder="1" applyAlignment="1">
      <alignment horizontal="center" vertical="center" wrapText="1"/>
      <protection/>
    </xf>
    <xf numFmtId="49" fontId="28" fillId="0" borderId="0" xfId="289" applyNumberFormat="1" applyFont="1" applyAlignment="1">
      <alignment horizontal="center"/>
      <protection/>
    </xf>
    <xf numFmtId="0" fontId="25" fillId="47" borderId="0" xfId="289" applyFont="1" applyFill="1" applyBorder="1" applyAlignment="1">
      <alignment horizontal="center"/>
      <protection/>
    </xf>
    <xf numFmtId="49" fontId="31" fillId="0" borderId="0" xfId="289" applyNumberFormat="1" applyFont="1" applyAlignment="1">
      <alignment horizontal="center"/>
      <protection/>
    </xf>
    <xf numFmtId="49" fontId="25" fillId="0" borderId="0" xfId="289" applyNumberFormat="1" applyFont="1" applyBorder="1" applyAlignment="1">
      <alignment horizontal="center" wrapText="1"/>
      <protection/>
    </xf>
    <xf numFmtId="49" fontId="6" fillId="0" borderId="26" xfId="289" applyNumberFormat="1" applyFont="1" applyBorder="1" applyAlignment="1">
      <alignment horizontal="center" vertical="center" wrapText="1"/>
      <protection/>
    </xf>
    <xf numFmtId="49" fontId="6" fillId="0" borderId="25" xfId="289" applyNumberFormat="1" applyFont="1" applyBorder="1" applyAlignment="1">
      <alignment horizontal="center" vertical="center" wrapText="1"/>
      <protection/>
    </xf>
    <xf numFmtId="49" fontId="25" fillId="0" borderId="0" xfId="289" applyNumberFormat="1" applyFont="1" applyBorder="1" applyAlignment="1">
      <alignment horizontal="center"/>
      <protection/>
    </xf>
    <xf numFmtId="49" fontId="76" fillId="4" borderId="21" xfId="289" applyNumberFormat="1" applyFont="1" applyFill="1" applyBorder="1" applyAlignment="1">
      <alignment horizontal="center" vertical="center" wrapText="1"/>
      <protection/>
    </xf>
    <xf numFmtId="49" fontId="76" fillId="4" borderId="38" xfId="289" applyNumberFormat="1" applyFont="1" applyFill="1" applyBorder="1" applyAlignment="1">
      <alignment horizontal="center" vertical="center" wrapText="1"/>
      <protection/>
    </xf>
    <xf numFmtId="49" fontId="76" fillId="4" borderId="23" xfId="289" applyNumberFormat="1" applyFont="1" applyFill="1" applyBorder="1" applyAlignment="1">
      <alignment horizontal="center" vertical="center" wrapText="1"/>
      <protection/>
    </xf>
    <xf numFmtId="49" fontId="0" fillId="0" borderId="0" xfId="289" applyNumberFormat="1" applyFont="1" applyAlignment="1">
      <alignment horizontal="left"/>
      <protection/>
    </xf>
    <xf numFmtId="49" fontId="84" fillId="0" borderId="26" xfId="289" applyNumberFormat="1" applyFont="1" applyBorder="1" applyAlignment="1">
      <alignment horizontal="center" vertical="center" wrapText="1"/>
      <protection/>
    </xf>
    <xf numFmtId="49" fontId="84" fillId="0" borderId="25" xfId="289" applyNumberFormat="1" applyFont="1" applyBorder="1" applyAlignment="1">
      <alignment horizontal="center" vertical="center" wrapText="1"/>
      <protection/>
    </xf>
    <xf numFmtId="49" fontId="31" fillId="0" borderId="0" xfId="289" applyNumberFormat="1" applyFont="1" applyBorder="1" applyAlignment="1">
      <alignment horizontal="center" wrapText="1"/>
      <protection/>
    </xf>
    <xf numFmtId="49" fontId="6" fillId="0" borderId="21" xfId="289" applyNumberFormat="1" applyFont="1" applyFill="1" applyBorder="1" applyAlignment="1">
      <alignment horizontal="center" vertical="center" wrapText="1"/>
      <protection/>
    </xf>
    <xf numFmtId="49" fontId="6" fillId="0" borderId="38" xfId="289" applyNumberFormat="1" applyFont="1" applyFill="1" applyBorder="1" applyAlignment="1">
      <alignment horizontal="center" vertical="center" wrapText="1"/>
      <protection/>
    </xf>
    <xf numFmtId="49" fontId="6" fillId="0" borderId="23" xfId="289" applyNumberFormat="1" applyFont="1" applyFill="1" applyBorder="1" applyAlignment="1">
      <alignment horizontal="center" vertical="center" wrapText="1"/>
      <protection/>
    </xf>
    <xf numFmtId="49" fontId="13" fillId="0" borderId="0" xfId="289" applyNumberFormat="1" applyFont="1" applyAlignment="1">
      <alignment horizontal="center"/>
      <protection/>
    </xf>
    <xf numFmtId="49" fontId="31" fillId="0" borderId="0" xfId="289" applyNumberFormat="1" applyFont="1" applyBorder="1" applyAlignment="1">
      <alignment horizontal="center"/>
      <protection/>
    </xf>
    <xf numFmtId="0" fontId="12" fillId="0" borderId="20" xfId="289" applyFont="1" applyBorder="1" applyAlignment="1">
      <alignment horizontal="center" vertical="center" wrapText="1"/>
      <protection/>
    </xf>
    <xf numFmtId="0" fontId="6" fillId="0" borderId="20" xfId="289" applyFont="1" applyBorder="1" applyAlignment="1">
      <alignment horizontal="center" vertical="center" wrapText="1"/>
      <protection/>
    </xf>
    <xf numFmtId="3" fontId="0" fillId="47" borderId="0" xfId="289" applyNumberFormat="1" applyFont="1" applyFill="1" applyBorder="1" applyAlignment="1">
      <alignment horizontal="left"/>
      <protection/>
    </xf>
    <xf numFmtId="0" fontId="3" fillId="0" borderId="0" xfId="289" applyFont="1" applyBorder="1" applyAlignment="1">
      <alignment horizontal="left"/>
      <protection/>
    </xf>
    <xf numFmtId="0" fontId="0" fillId="0" borderId="0" xfId="289" applyFont="1" applyBorder="1" applyAlignment="1">
      <alignment horizontal="left"/>
      <protection/>
    </xf>
    <xf numFmtId="0" fontId="6" fillId="0" borderId="20" xfId="289" applyFont="1" applyFill="1" applyBorder="1" applyAlignment="1">
      <alignment horizontal="center" vertical="center" wrapText="1"/>
      <protection/>
    </xf>
    <xf numFmtId="0" fontId="88" fillId="0" borderId="0" xfId="289" applyFont="1" applyAlignment="1">
      <alignment horizontal="center"/>
      <protection/>
    </xf>
    <xf numFmtId="0" fontId="3" fillId="0" borderId="0" xfId="289" applyNumberFormat="1" applyFont="1" applyAlignment="1">
      <alignment horizontal="left"/>
      <protection/>
    </xf>
    <xf numFmtId="0" fontId="0" fillId="0" borderId="0" xfId="289" applyFont="1" applyAlignment="1">
      <alignment horizontal="left"/>
      <protection/>
    </xf>
    <xf numFmtId="0" fontId="0" fillId="0" borderId="0" xfId="289" applyFont="1" applyBorder="1" applyAlignment="1">
      <alignment/>
      <protection/>
    </xf>
    <xf numFmtId="0" fontId="14" fillId="0" borderId="0" xfId="289" applyFont="1" applyAlignment="1">
      <alignment horizontal="center" wrapText="1"/>
      <protection/>
    </xf>
    <xf numFmtId="0" fontId="13" fillId="0" borderId="0" xfId="289" applyFont="1" applyBorder="1" applyAlignment="1">
      <alignment horizontal="center"/>
      <protection/>
    </xf>
    <xf numFmtId="0" fontId="14" fillId="0" borderId="0" xfId="289" applyFont="1" applyAlignment="1">
      <alignment horizontal="center"/>
      <protection/>
    </xf>
    <xf numFmtId="0" fontId="33" fillId="0" borderId="0" xfId="289" applyFont="1" applyAlignment="1">
      <alignment horizontal="center"/>
      <protection/>
    </xf>
    <xf numFmtId="0" fontId="68" fillId="3" borderId="26" xfId="289" applyFont="1" applyFill="1" applyBorder="1" applyAlignment="1">
      <alignment horizontal="center" vertical="center" wrapText="1"/>
      <protection/>
    </xf>
    <xf numFmtId="0" fontId="68" fillId="3" borderId="25" xfId="289" applyFont="1" applyFill="1" applyBorder="1" applyAlignment="1">
      <alignment horizontal="center" vertical="center" wrapText="1"/>
      <protection/>
    </xf>
    <xf numFmtId="0" fontId="6" fillId="0" borderId="25" xfId="289" applyFont="1" applyBorder="1" applyAlignment="1">
      <alignment horizontal="center" vertical="center" wrapText="1"/>
      <protection/>
    </xf>
    <xf numFmtId="0" fontId="6" fillId="0" borderId="20" xfId="289" applyFont="1" applyBorder="1" applyAlignment="1">
      <alignment horizontal="center" vertical="center"/>
      <protection/>
    </xf>
    <xf numFmtId="0" fontId="31" fillId="0" borderId="0" xfId="289" applyNumberFormat="1" applyFont="1" applyBorder="1" applyAlignment="1">
      <alignment horizontal="center"/>
      <protection/>
    </xf>
    <xf numFmtId="0" fontId="31" fillId="0" borderId="0" xfId="289" applyFont="1" applyBorder="1" applyAlignment="1">
      <alignment horizontal="center" wrapText="1"/>
      <protection/>
    </xf>
    <xf numFmtId="0" fontId="25" fillId="0" borderId="0" xfId="289" applyFont="1" applyBorder="1" applyAlignment="1">
      <alignment horizontal="center" wrapText="1"/>
      <protection/>
    </xf>
    <xf numFmtId="0" fontId="25" fillId="0" borderId="0" xfId="289" applyNumberFormat="1" applyFont="1" applyBorder="1" applyAlignment="1">
      <alignment horizontal="center"/>
      <protection/>
    </xf>
    <xf numFmtId="0" fontId="6" fillId="0" borderId="26" xfId="289" applyFont="1" applyBorder="1" applyAlignment="1">
      <alignment horizontal="center" vertical="center" wrapText="1"/>
      <protection/>
    </xf>
    <xf numFmtId="0" fontId="13" fillId="0" borderId="22" xfId="289" applyFont="1" applyBorder="1" applyAlignment="1">
      <alignment horizontal="left"/>
      <protection/>
    </xf>
    <xf numFmtId="0" fontId="6" fillId="0" borderId="26" xfId="289" applyFont="1" applyBorder="1" applyAlignment="1">
      <alignment horizontal="center" vertical="center"/>
      <protection/>
    </xf>
    <xf numFmtId="0" fontId="6" fillId="0" borderId="41" xfId="289" applyFont="1" applyBorder="1" applyAlignment="1">
      <alignment horizontal="center" vertical="center"/>
      <protection/>
    </xf>
    <xf numFmtId="0" fontId="6" fillId="0" borderId="25" xfId="289" applyFont="1" applyBorder="1" applyAlignment="1">
      <alignment horizontal="center" vertical="center"/>
      <protection/>
    </xf>
    <xf numFmtId="0" fontId="67" fillId="3" borderId="26" xfId="289" applyFont="1" applyFill="1" applyBorder="1" applyAlignment="1">
      <alignment horizontal="center" vertical="center" wrapText="1"/>
      <protection/>
    </xf>
    <xf numFmtId="0" fontId="67" fillId="3" borderId="25" xfId="289" applyFont="1" applyFill="1" applyBorder="1" applyAlignment="1">
      <alignment horizontal="center" vertical="center" wrapText="1"/>
      <protection/>
    </xf>
    <xf numFmtId="0" fontId="6" fillId="0" borderId="35" xfId="289" applyFont="1" applyBorder="1" applyAlignment="1">
      <alignment horizontal="center" vertical="center" wrapText="1"/>
      <protection/>
    </xf>
    <xf numFmtId="0" fontId="6" fillId="0" borderId="19" xfId="289" applyFont="1" applyBorder="1" applyAlignment="1">
      <alignment horizontal="center" vertical="center" wrapText="1"/>
      <protection/>
    </xf>
    <xf numFmtId="0" fontId="6" fillId="0" borderId="36" xfId="289" applyFont="1" applyBorder="1" applyAlignment="1">
      <alignment horizontal="center" vertical="center" wrapText="1"/>
      <protection/>
    </xf>
    <xf numFmtId="0" fontId="6" fillId="0" borderId="24" xfId="289" applyFont="1" applyBorder="1" applyAlignment="1">
      <alignment horizontal="center" vertical="center" wrapText="1"/>
      <protection/>
    </xf>
    <xf numFmtId="0" fontId="6" fillId="0" borderId="0" xfId="289" applyFont="1" applyBorder="1" applyAlignment="1">
      <alignment horizontal="center" vertical="center" wrapText="1"/>
      <protection/>
    </xf>
    <xf numFmtId="0" fontId="6" fillId="0" borderId="40" xfId="289" applyFont="1" applyBorder="1" applyAlignment="1">
      <alignment horizontal="center" vertical="center" wrapText="1"/>
      <protection/>
    </xf>
    <xf numFmtId="0" fontId="6" fillId="0" borderId="21" xfId="289" applyFont="1" applyBorder="1" applyAlignment="1">
      <alignment horizontal="center" vertical="center" wrapText="1"/>
      <protection/>
    </xf>
    <xf numFmtId="0" fontId="6" fillId="0" borderId="38" xfId="289" applyFont="1" applyBorder="1" applyAlignment="1">
      <alignment horizontal="center" vertical="center" wrapText="1"/>
      <protection/>
    </xf>
    <xf numFmtId="0" fontId="6" fillId="0" borderId="23" xfId="289" applyFont="1" applyBorder="1" applyAlignment="1">
      <alignment horizontal="center" vertical="center" wrapText="1"/>
      <protection/>
    </xf>
    <xf numFmtId="0" fontId="21" fillId="0" borderId="26" xfId="289" applyFont="1" applyBorder="1" applyAlignment="1">
      <alignment horizontal="center" vertical="center" wrapText="1"/>
      <protection/>
    </xf>
    <xf numFmtId="0" fontId="21" fillId="0" borderId="25" xfId="289" applyFont="1" applyBorder="1" applyAlignment="1">
      <alignment horizontal="center" vertical="center" wrapText="1"/>
      <protection/>
    </xf>
    <xf numFmtId="49" fontId="6" fillId="0" borderId="19" xfId="289" applyNumberFormat="1" applyFont="1" applyFill="1" applyBorder="1" applyAlignment="1">
      <alignment horizontal="center" vertical="center"/>
      <protection/>
    </xf>
    <xf numFmtId="49" fontId="6" fillId="0" borderId="0" xfId="289" applyNumberFormat="1" applyFont="1" applyFill="1" applyBorder="1" applyAlignment="1">
      <alignment horizontal="center" vertical="center"/>
      <protection/>
    </xf>
    <xf numFmtId="49" fontId="6" fillId="0" borderId="22" xfId="289" applyNumberFormat="1" applyFont="1" applyFill="1" applyBorder="1" applyAlignment="1">
      <alignment horizontal="center" vertical="center"/>
      <protection/>
    </xf>
    <xf numFmtId="49" fontId="79" fillId="0" borderId="0" xfId="289" applyNumberFormat="1" applyFont="1" applyAlignment="1">
      <alignment horizontal="center"/>
      <protection/>
    </xf>
    <xf numFmtId="49" fontId="6" fillId="0" borderId="20" xfId="289" applyNumberFormat="1" applyFont="1" applyFill="1" applyBorder="1" applyAlignment="1">
      <alignment horizontal="center" vertical="center"/>
      <protection/>
    </xf>
    <xf numFmtId="49" fontId="77" fillId="3" borderId="26" xfId="289" applyNumberFormat="1" applyFont="1" applyFill="1" applyBorder="1" applyAlignment="1">
      <alignment horizontal="center" vertical="center" wrapText="1"/>
      <protection/>
    </xf>
    <xf numFmtId="49" fontId="77" fillId="3" borderId="25" xfId="289" applyNumberFormat="1" applyFont="1" applyFill="1" applyBorder="1" applyAlignment="1">
      <alignment horizontal="center" vertical="center" wrapText="1"/>
      <protection/>
    </xf>
    <xf numFmtId="49" fontId="75" fillId="3" borderId="26" xfId="289" applyNumberFormat="1" applyFont="1" applyFill="1" applyBorder="1" applyAlignment="1">
      <alignment horizontal="center" vertical="center" wrapText="1"/>
      <protection/>
    </xf>
    <xf numFmtId="49" fontId="75" fillId="3" borderId="25" xfId="289" applyNumberFormat="1" applyFont="1" applyFill="1" applyBorder="1" applyAlignment="1">
      <alignment horizontal="center" vertical="center" wrapText="1"/>
      <protection/>
    </xf>
    <xf numFmtId="49" fontId="3" fillId="0" borderId="0" xfId="289" applyNumberFormat="1" applyFont="1" applyAlignment="1">
      <alignment horizontal="left"/>
      <protection/>
    </xf>
    <xf numFmtId="49" fontId="5" fillId="0" borderId="0" xfId="289" applyNumberFormat="1" applyFont="1" applyBorder="1" applyAlignment="1">
      <alignment horizontal="left" wrapText="1"/>
      <protection/>
    </xf>
    <xf numFmtId="49" fontId="5" fillId="0" borderId="0" xfId="289" applyNumberFormat="1" applyFont="1" applyBorder="1" applyAlignment="1">
      <alignment horizontal="left"/>
      <protection/>
    </xf>
    <xf numFmtId="49" fontId="14" fillId="0" borderId="0" xfId="289" applyNumberFormat="1" applyFont="1" applyAlignment="1">
      <alignment horizontal="center" wrapText="1"/>
      <protection/>
    </xf>
    <xf numFmtId="49" fontId="0" fillId="47" borderId="0" xfId="289" applyNumberFormat="1" applyFont="1" applyFill="1" applyBorder="1" applyAlignment="1">
      <alignment horizontal="left" vertical="top" wrapText="1"/>
      <protection/>
    </xf>
    <xf numFmtId="49" fontId="3" fillId="47" borderId="0" xfId="289" applyNumberFormat="1" applyFont="1" applyFill="1" applyBorder="1" applyAlignment="1">
      <alignment horizontal="left" vertical="top" wrapText="1"/>
      <protection/>
    </xf>
    <xf numFmtId="49" fontId="0" fillId="0" borderId="0" xfId="289" applyNumberFormat="1" applyFont="1" applyAlignment="1">
      <alignment horizontal="justify" vertical="top"/>
      <protection/>
    </xf>
    <xf numFmtId="49" fontId="0" fillId="0" borderId="0" xfId="289" applyNumberFormat="1" applyFont="1" applyBorder="1" applyAlignment="1">
      <alignment horizontal="justify" vertical="top" wrapText="1"/>
      <protection/>
    </xf>
    <xf numFmtId="49" fontId="0" fillId="0" borderId="0" xfId="289" applyNumberFormat="1" applyFont="1" applyBorder="1" applyAlignment="1">
      <alignment horizontal="justify" vertical="top"/>
      <protection/>
    </xf>
    <xf numFmtId="49" fontId="18" fillId="0" borderId="0" xfId="289" applyNumberFormat="1" applyFont="1" applyAlignment="1">
      <alignment horizontal="center" wrapText="1"/>
      <protection/>
    </xf>
    <xf numFmtId="49" fontId="19" fillId="0" borderId="22" xfId="289" applyNumberFormat="1" applyFont="1" applyBorder="1" applyAlignment="1">
      <alignment horizontal="center"/>
      <protection/>
    </xf>
    <xf numFmtId="49" fontId="74" fillId="0" borderId="20" xfId="289" applyNumberFormat="1" applyFont="1" applyBorder="1" applyAlignment="1">
      <alignment horizontal="center" vertical="center" wrapText="1"/>
      <protection/>
    </xf>
    <xf numFmtId="49" fontId="12" fillId="0" borderId="20" xfId="289" applyNumberFormat="1" applyFont="1" applyBorder="1" applyAlignment="1">
      <alignment horizontal="center" vertical="center" wrapText="1"/>
      <protection/>
    </xf>
    <xf numFmtId="49" fontId="7" fillId="0" borderId="0" xfId="289" applyNumberFormat="1" applyFont="1" applyAlignment="1">
      <alignment horizontal="left"/>
      <protection/>
    </xf>
    <xf numFmtId="49" fontId="13" fillId="0" borderId="0" xfId="289" applyNumberFormat="1" applyFont="1" applyBorder="1" applyAlignment="1">
      <alignment horizontal="left"/>
      <protection/>
    </xf>
    <xf numFmtId="49" fontId="7" fillId="0" borderId="26" xfId="289" applyNumberFormat="1" applyFont="1" applyBorder="1" applyAlignment="1">
      <alignment horizontal="center" vertical="center" wrapText="1"/>
      <protection/>
    </xf>
    <xf numFmtId="49" fontId="7" fillId="0" borderId="25" xfId="289" applyNumberFormat="1" applyFont="1" applyBorder="1" applyAlignment="1">
      <alignment horizontal="center" vertical="center" wrapText="1"/>
      <protection/>
    </xf>
    <xf numFmtId="49" fontId="4" fillId="0" borderId="0" xfId="289" applyNumberFormat="1" applyFont="1" applyAlignment="1">
      <alignment/>
      <protection/>
    </xf>
    <xf numFmtId="49" fontId="0" fillId="0" borderId="0" xfId="289" applyNumberFormat="1" applyFont="1" applyBorder="1" applyAlignment="1">
      <alignment horizontal="left"/>
      <protection/>
    </xf>
    <xf numFmtId="49" fontId="19" fillId="0" borderId="26" xfId="289" applyNumberFormat="1" applyFont="1" applyBorder="1" applyAlignment="1">
      <alignment horizontal="center" vertical="center" wrapText="1"/>
      <protection/>
    </xf>
    <xf numFmtId="49" fontId="19" fillId="0" borderId="25" xfId="289" applyNumberFormat="1" applyFont="1" applyBorder="1" applyAlignment="1">
      <alignment horizontal="center" vertical="center" wrapText="1"/>
      <protection/>
    </xf>
    <xf numFmtId="49" fontId="90" fillId="3" borderId="26" xfId="289" applyNumberFormat="1" applyFont="1" applyFill="1" applyBorder="1" applyAlignment="1">
      <alignment horizontal="center" vertical="center" wrapText="1"/>
      <protection/>
    </xf>
    <xf numFmtId="49" fontId="90" fillId="3" borderId="25" xfId="289" applyNumberFormat="1" applyFont="1" applyFill="1" applyBorder="1" applyAlignment="1">
      <alignment horizontal="center" vertical="center" wrapText="1"/>
      <protection/>
    </xf>
    <xf numFmtId="49" fontId="89" fillId="3" borderId="26" xfId="289" applyNumberFormat="1" applyFont="1" applyFill="1" applyBorder="1" applyAlignment="1">
      <alignment horizontal="center" vertical="center" wrapText="1"/>
      <protection/>
    </xf>
    <xf numFmtId="49" fontId="89" fillId="3" borderId="25" xfId="289" applyNumberFormat="1" applyFont="1" applyFill="1" applyBorder="1" applyAlignment="1">
      <alignment horizontal="center" vertical="center" wrapText="1"/>
      <protection/>
    </xf>
    <xf numFmtId="49" fontId="6" fillId="0" borderId="21" xfId="289" applyNumberFormat="1" applyFont="1" applyBorder="1" applyAlignment="1">
      <alignment horizontal="center" vertical="center" wrapText="1"/>
      <protection/>
    </xf>
    <xf numFmtId="49" fontId="6" fillId="0" borderId="23" xfId="289" applyNumberFormat="1" applyFont="1" applyBorder="1" applyAlignment="1">
      <alignment horizontal="center" vertical="center" wrapText="1"/>
      <protection/>
    </xf>
    <xf numFmtId="49" fontId="6" fillId="0" borderId="38" xfId="289" applyNumberFormat="1" applyFont="1" applyBorder="1" applyAlignment="1">
      <alignment horizontal="center" vertical="center" wrapText="1"/>
      <protection/>
    </xf>
    <xf numFmtId="49" fontId="6" fillId="0" borderId="41" xfId="289" applyNumberFormat="1" applyFont="1" applyBorder="1" applyAlignment="1">
      <alignment horizontal="center" vertical="center" wrapText="1"/>
      <protection/>
    </xf>
    <xf numFmtId="49" fontId="19" fillId="0" borderId="0" xfId="289" applyNumberFormat="1" applyFont="1" applyAlignment="1">
      <alignment horizontal="center"/>
      <protection/>
    </xf>
    <xf numFmtId="49" fontId="18" fillId="0" borderId="22" xfId="289" applyNumberFormat="1" applyFont="1" applyBorder="1" applyAlignment="1">
      <alignment horizontal="left"/>
      <protection/>
    </xf>
    <xf numFmtId="49" fontId="31" fillId="0" borderId="0" xfId="289" applyNumberFormat="1" applyFont="1" applyBorder="1" applyAlignment="1">
      <alignment horizontal="left" wrapText="1"/>
      <protection/>
    </xf>
    <xf numFmtId="49" fontId="28" fillId="0" borderId="0" xfId="289" applyNumberFormat="1" applyFont="1" applyAlignment="1">
      <alignment horizontal="center"/>
      <protection/>
    </xf>
    <xf numFmtId="49" fontId="6" fillId="0" borderId="35" xfId="289" applyNumberFormat="1" applyFont="1" applyFill="1" applyBorder="1" applyAlignment="1">
      <alignment horizontal="center" vertical="center" wrapText="1"/>
      <protection/>
    </xf>
    <xf numFmtId="49" fontId="6" fillId="0" borderId="36" xfId="289" applyNumberFormat="1" applyFont="1" applyFill="1" applyBorder="1" applyAlignment="1">
      <alignment horizontal="center" vertical="center" wrapText="1"/>
      <protection/>
    </xf>
    <xf numFmtId="49" fontId="6" fillId="0" borderId="24" xfId="289" applyNumberFormat="1" applyFont="1" applyFill="1" applyBorder="1" applyAlignment="1">
      <alignment horizontal="center" vertical="center" wrapText="1"/>
      <protection/>
    </xf>
    <xf numFmtId="49" fontId="6" fillId="0" borderId="40" xfId="289" applyNumberFormat="1" applyFont="1" applyFill="1" applyBorder="1" applyAlignment="1">
      <alignment horizontal="center" vertical="center" wrapText="1"/>
      <protection/>
    </xf>
    <xf numFmtId="49" fontId="6" fillId="0" borderId="27" xfId="289" applyNumberFormat="1" applyFont="1" applyFill="1" applyBorder="1" applyAlignment="1">
      <alignment horizontal="center" vertical="center" wrapText="1"/>
      <protection/>
    </xf>
    <xf numFmtId="49" fontId="6" fillId="0" borderId="37" xfId="289" applyNumberFormat="1" applyFont="1" applyFill="1" applyBorder="1" applyAlignment="1">
      <alignment horizontal="center" vertical="center" wrapText="1"/>
      <protection/>
    </xf>
    <xf numFmtId="49" fontId="6" fillId="0" borderId="41" xfId="289" applyNumberFormat="1" applyFont="1" applyFill="1" applyBorder="1" applyAlignment="1">
      <alignment horizontal="center" vertical="center" wrapText="1"/>
      <protection/>
    </xf>
    <xf numFmtId="49" fontId="19" fillId="0" borderId="26" xfId="289" applyNumberFormat="1" applyFont="1" applyFill="1" applyBorder="1" applyAlignment="1">
      <alignment horizontal="center" vertical="center"/>
      <protection/>
    </xf>
    <xf numFmtId="49" fontId="19" fillId="0" borderId="25" xfId="289" applyNumberFormat="1" applyFont="1" applyFill="1" applyBorder="1" applyAlignment="1">
      <alignment horizontal="center" vertical="center"/>
      <protection/>
    </xf>
    <xf numFmtId="49" fontId="89" fillId="3" borderId="26" xfId="289" applyNumberFormat="1" applyFont="1" applyFill="1" applyBorder="1" applyAlignment="1">
      <alignment horizontal="center" vertical="center"/>
      <protection/>
    </xf>
    <xf numFmtId="49" fontId="89" fillId="3" borderId="25" xfId="289" applyNumberFormat="1" applyFont="1" applyFill="1" applyBorder="1" applyAlignment="1">
      <alignment horizontal="center" vertical="center"/>
      <protection/>
    </xf>
    <xf numFmtId="49" fontId="6" fillId="47" borderId="26" xfId="289" applyNumberFormat="1" applyFont="1" applyFill="1" applyBorder="1" applyAlignment="1">
      <alignment horizontal="center" vertical="center"/>
      <protection/>
    </xf>
    <xf numFmtId="49" fontId="6" fillId="47" borderId="25" xfId="289" applyNumberFormat="1" applyFont="1" applyFill="1" applyBorder="1" applyAlignment="1">
      <alignment horizontal="center" vertical="center"/>
      <protection/>
    </xf>
    <xf numFmtId="49" fontId="90" fillId="3" borderId="26" xfId="289" applyNumberFormat="1" applyFont="1" applyFill="1" applyBorder="1" applyAlignment="1">
      <alignment horizontal="center" vertical="center"/>
      <protection/>
    </xf>
    <xf numFmtId="49" fontId="90" fillId="3" borderId="25" xfId="289" applyNumberFormat="1" applyFont="1" applyFill="1" applyBorder="1" applyAlignment="1">
      <alignment horizontal="center" vertical="center"/>
      <protection/>
    </xf>
    <xf numFmtId="49" fontId="18" fillId="0" borderId="0" xfId="289" applyNumberFormat="1" applyFont="1" applyFill="1" applyBorder="1" applyAlignment="1">
      <alignment horizontal="left"/>
      <protection/>
    </xf>
    <xf numFmtId="49" fontId="0" fillId="0" borderId="0" xfId="289" applyNumberFormat="1" applyFont="1" applyFill="1" applyAlignment="1">
      <alignment horizontal="left"/>
      <protection/>
    </xf>
    <xf numFmtId="49" fontId="13" fillId="0" borderId="22" xfId="289" applyNumberFormat="1" applyFont="1" applyFill="1" applyBorder="1" applyAlignment="1">
      <alignment horizontal="center" vertical="center"/>
      <protection/>
    </xf>
    <xf numFmtId="0" fontId="82" fillId="0" borderId="41" xfId="289" applyFont="1" applyFill="1" applyBorder="1" applyAlignment="1">
      <alignment horizontal="center" vertical="center" wrapText="1"/>
      <protection/>
    </xf>
    <xf numFmtId="0" fontId="82" fillId="0" borderId="25" xfId="289" applyFont="1" applyFill="1" applyBorder="1" applyAlignment="1">
      <alignment horizontal="center" vertical="center" wrapText="1"/>
      <protection/>
    </xf>
    <xf numFmtId="0" fontId="14" fillId="0" borderId="0" xfId="289" applyNumberFormat="1" applyFont="1" applyAlignment="1">
      <alignment horizontal="center"/>
      <protection/>
    </xf>
    <xf numFmtId="0" fontId="33" fillId="0" borderId="0" xfId="289" applyNumberFormat="1" applyFont="1" applyAlignment="1">
      <alignment horizontal="center"/>
      <protection/>
    </xf>
    <xf numFmtId="0" fontId="23" fillId="0" borderId="0" xfId="289" applyNumberFormat="1" applyFont="1" applyAlignment="1">
      <alignment horizontal="center"/>
      <protection/>
    </xf>
    <xf numFmtId="0" fontId="7" fillId="0" borderId="20" xfId="289" applyFont="1" applyFill="1" applyBorder="1" applyAlignment="1">
      <alignment horizontal="center" vertical="center" wrapText="1"/>
      <protection/>
    </xf>
    <xf numFmtId="0" fontId="18" fillId="0" borderId="0" xfId="289" applyFont="1" applyBorder="1" applyAlignment="1">
      <alignment horizontal="left"/>
      <protection/>
    </xf>
    <xf numFmtId="0" fontId="13" fillId="0" borderId="0" xfId="289" applyFont="1" applyAlignment="1">
      <alignment horizontal="center"/>
      <protection/>
    </xf>
    <xf numFmtId="49" fontId="31" fillId="0" borderId="0" xfId="289" applyNumberFormat="1" applyFont="1" applyBorder="1" applyAlignment="1">
      <alignment horizontal="justify" vertical="justify" wrapText="1"/>
      <protection/>
    </xf>
    <xf numFmtId="0" fontId="28" fillId="47" borderId="0" xfId="289" applyFont="1" applyFill="1" applyBorder="1" applyAlignment="1">
      <alignment horizontal="center"/>
      <protection/>
    </xf>
    <xf numFmtId="49" fontId="7" fillId="0" borderId="35" xfId="289" applyNumberFormat="1" applyFont="1" applyFill="1" applyBorder="1" applyAlignment="1">
      <alignment horizontal="center" vertical="center"/>
      <protection/>
    </xf>
    <xf numFmtId="49" fontId="7" fillId="0" borderId="36" xfId="289" applyNumberFormat="1" applyFont="1" applyFill="1" applyBorder="1" applyAlignment="1">
      <alignment horizontal="center" vertical="center"/>
      <protection/>
    </xf>
    <xf numFmtId="49" fontId="7" fillId="0" borderId="24" xfId="289" applyNumberFormat="1" applyFont="1" applyFill="1" applyBorder="1" applyAlignment="1">
      <alignment horizontal="center" vertical="center"/>
      <protection/>
    </xf>
    <xf numFmtId="49" fontId="7" fillId="0" borderId="40" xfId="289" applyNumberFormat="1" applyFont="1" applyFill="1" applyBorder="1" applyAlignment="1">
      <alignment horizontal="center" vertical="center"/>
      <protection/>
    </xf>
    <xf numFmtId="49" fontId="7" fillId="0" borderId="27" xfId="289" applyNumberFormat="1" applyFont="1" applyFill="1" applyBorder="1" applyAlignment="1">
      <alignment horizontal="center" vertical="center"/>
      <protection/>
    </xf>
    <xf numFmtId="49" fontId="7" fillId="0" borderId="37" xfId="289" applyNumberFormat="1" applyFont="1" applyFill="1" applyBorder="1" applyAlignment="1">
      <alignment horizontal="center" vertical="center"/>
      <protection/>
    </xf>
    <xf numFmtId="0" fontId="25" fillId="0" borderId="0" xfId="289" applyFont="1" applyAlignment="1">
      <alignment horizontal="center"/>
      <protection/>
    </xf>
    <xf numFmtId="49" fontId="25" fillId="47" borderId="42" xfId="0" applyNumberFormat="1" applyFont="1" applyFill="1" applyBorder="1" applyAlignment="1">
      <alignment horizontal="center" vertical="center"/>
    </xf>
    <xf numFmtId="49" fontId="25" fillId="47" borderId="43" xfId="0" applyNumberFormat="1" applyFont="1" applyFill="1" applyBorder="1" applyAlignment="1">
      <alignment horizontal="center" vertical="center"/>
    </xf>
    <xf numFmtId="49" fontId="100" fillId="47" borderId="26" xfId="0" applyNumberFormat="1" applyFont="1" applyFill="1" applyBorder="1" applyAlignment="1">
      <alignment horizontal="left"/>
    </xf>
    <xf numFmtId="49" fontId="100" fillId="47" borderId="41" xfId="0" applyNumberFormat="1" applyFont="1" applyFill="1" applyBorder="1" applyAlignment="1">
      <alignment horizontal="left"/>
    </xf>
    <xf numFmtId="49" fontId="100" fillId="47" borderId="25" xfId="0" applyNumberFormat="1" applyFont="1" applyFill="1" applyBorder="1" applyAlignment="1">
      <alignment horizontal="left"/>
    </xf>
    <xf numFmtId="0" fontId="0" fillId="50"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25" fillId="47" borderId="0" xfId="0" applyNumberFormat="1" applyFont="1" applyFill="1" applyAlignment="1">
      <alignment horizontal="center"/>
    </xf>
    <xf numFmtId="49" fontId="28" fillId="47" borderId="0" xfId="0" applyNumberFormat="1" applyFont="1" applyFill="1" applyAlignment="1">
      <alignment horizontal="left"/>
    </xf>
    <xf numFmtId="49" fontId="28" fillId="47" borderId="0" xfId="0" applyNumberFormat="1" applyFont="1" applyFill="1" applyBorder="1" applyAlignment="1">
      <alignment horizontal="left"/>
    </xf>
    <xf numFmtId="0" fontId="28" fillId="47" borderId="19" xfId="0" applyNumberFormat="1" applyFont="1" applyFill="1" applyBorder="1" applyAlignment="1">
      <alignment horizontal="center" vertical="center"/>
    </xf>
    <xf numFmtId="0" fontId="25" fillId="47" borderId="0" xfId="0" applyNumberFormat="1" applyFont="1" applyFill="1" applyBorder="1" applyAlignment="1">
      <alignment horizontal="center" wrapText="1"/>
    </xf>
    <xf numFmtId="0" fontId="31" fillId="47" borderId="0" xfId="0" applyNumberFormat="1" applyFont="1" applyFill="1" applyBorder="1" applyAlignment="1">
      <alignment horizontal="left" wrapText="1"/>
    </xf>
    <xf numFmtId="49" fontId="0" fillId="47" borderId="20" xfId="0" applyNumberFormat="1" applyFont="1" applyFill="1" applyBorder="1" applyAlignment="1">
      <alignment horizontal="center" vertical="center" wrapText="1"/>
    </xf>
    <xf numFmtId="49" fontId="0" fillId="47" borderId="20" xfId="0" applyNumberFormat="1" applyFont="1" applyFill="1" applyBorder="1" applyAlignment="1" applyProtection="1">
      <alignment horizontal="center" vertical="center" wrapText="1"/>
      <protection/>
    </xf>
    <xf numFmtId="210" fontId="25" fillId="47" borderId="0" xfId="0" applyNumberFormat="1" applyFont="1" applyFill="1" applyAlignment="1">
      <alignment horizontal="center"/>
    </xf>
    <xf numFmtId="49" fontId="18" fillId="47" borderId="44" xfId="0" applyNumberFormat="1" applyFont="1" applyFill="1" applyBorder="1" applyAlignment="1" applyProtection="1">
      <alignment horizontal="center" vertical="center" wrapText="1"/>
      <protection/>
    </xf>
    <xf numFmtId="49" fontId="18" fillId="47" borderId="25" xfId="0" applyNumberFormat="1" applyFont="1" applyFill="1" applyBorder="1" applyAlignment="1" applyProtection="1">
      <alignment horizontal="center" vertical="center" wrapText="1"/>
      <protection/>
    </xf>
    <xf numFmtId="49" fontId="0" fillId="47" borderId="26" xfId="0" applyNumberFormat="1" applyFont="1" applyFill="1" applyBorder="1" applyAlignment="1" applyProtection="1">
      <alignment horizontal="center" vertical="center" wrapText="1"/>
      <protection/>
    </xf>
    <xf numFmtId="49" fontId="0" fillId="47" borderId="25" xfId="0" applyNumberFormat="1" applyFont="1" applyFill="1" applyBorder="1" applyAlignment="1" applyProtection="1">
      <alignment horizontal="center" vertical="center" wrapText="1"/>
      <protection/>
    </xf>
    <xf numFmtId="49" fontId="0" fillId="47" borderId="0" xfId="0" applyNumberFormat="1" applyFont="1" applyFill="1" applyAlignment="1">
      <alignment horizontal="center"/>
    </xf>
    <xf numFmtId="49" fontId="0" fillId="47" borderId="0" xfId="0" applyNumberFormat="1" applyFont="1" applyFill="1" applyAlignment="1">
      <alignment horizontal="center" wrapText="1"/>
    </xf>
    <xf numFmtId="0" fontId="18" fillId="47" borderId="0" xfId="0" applyNumberFormat="1" applyFont="1" applyFill="1" applyAlignment="1">
      <alignment horizontal="center"/>
    </xf>
    <xf numFmtId="1" fontId="0" fillId="47" borderId="20" xfId="0" applyNumberFormat="1" applyFont="1" applyFill="1" applyBorder="1" applyAlignment="1">
      <alignment horizontal="center" vertical="center"/>
    </xf>
    <xf numFmtId="49" fontId="0" fillId="47" borderId="0" xfId="0" applyNumberFormat="1" applyFont="1" applyFill="1" applyBorder="1" applyAlignment="1">
      <alignment horizontal="left" wrapText="1"/>
    </xf>
    <xf numFmtId="49" fontId="0" fillId="47" borderId="0" xfId="0" applyNumberFormat="1" applyFont="1" applyFill="1" applyAlignment="1">
      <alignment horizontal="left"/>
    </xf>
    <xf numFmtId="0" fontId="0" fillId="47" borderId="0" xfId="0" applyNumberFormat="1" applyFont="1" applyFill="1" applyBorder="1" applyAlignment="1">
      <alignment horizontal="left" wrapText="1"/>
    </xf>
    <xf numFmtId="0" fontId="0" fillId="47" borderId="35" xfId="0" applyNumberFormat="1" applyFont="1" applyFill="1" applyBorder="1" applyAlignment="1">
      <alignment horizontal="center" vertical="center" wrapText="1"/>
    </xf>
    <xf numFmtId="0" fontId="0" fillId="47" borderId="36" xfId="0" applyNumberFormat="1" applyFont="1" applyFill="1" applyBorder="1" applyAlignment="1">
      <alignment horizontal="center" vertical="center" wrapText="1"/>
    </xf>
    <xf numFmtId="0" fontId="0" fillId="47" borderId="24" xfId="0" applyNumberFormat="1" applyFont="1" applyFill="1" applyBorder="1" applyAlignment="1">
      <alignment horizontal="center" vertical="center" wrapText="1"/>
    </xf>
    <xf numFmtId="0" fontId="0" fillId="47" borderId="40" xfId="0" applyNumberFormat="1" applyFont="1" applyFill="1" applyBorder="1" applyAlignment="1">
      <alignment horizontal="center" vertical="center" wrapText="1"/>
    </xf>
    <xf numFmtId="0" fontId="0" fillId="47" borderId="27" xfId="0" applyNumberFormat="1" applyFont="1" applyFill="1" applyBorder="1" applyAlignment="1">
      <alignment horizontal="center" vertical="center" wrapText="1"/>
    </xf>
    <xf numFmtId="0" fontId="0" fillId="47" borderId="37" xfId="0" applyNumberFormat="1" applyFont="1" applyFill="1" applyBorder="1" applyAlignment="1">
      <alignment horizontal="center" vertical="center" wrapText="1"/>
    </xf>
    <xf numFmtId="210" fontId="32" fillId="47" borderId="20" xfId="0" applyNumberFormat="1" applyFont="1" applyFill="1" applyBorder="1" applyAlignment="1">
      <alignment horizontal="center" vertical="center" wrapText="1"/>
    </xf>
    <xf numFmtId="210" fontId="4" fillId="47" borderId="45" xfId="0" applyNumberFormat="1" applyFont="1" applyFill="1" applyBorder="1" applyAlignment="1">
      <alignment horizontal="center" vertical="center" wrapText="1"/>
    </xf>
    <xf numFmtId="210" fontId="4" fillId="47" borderId="20" xfId="0" applyNumberFormat="1" applyFont="1" applyFill="1" applyBorder="1" applyAlignment="1">
      <alignment horizontal="center" vertical="center" wrapText="1"/>
    </xf>
    <xf numFmtId="210" fontId="4" fillId="47" borderId="45" xfId="0" applyNumberFormat="1" applyFont="1" applyFill="1" applyBorder="1" applyAlignment="1">
      <alignment horizontal="center" vertical="center"/>
    </xf>
    <xf numFmtId="49" fontId="18" fillId="47" borderId="46" xfId="0" applyNumberFormat="1" applyFont="1" applyFill="1" applyBorder="1" applyAlignment="1">
      <alignment horizontal="left"/>
    </xf>
    <xf numFmtId="210" fontId="15" fillId="47" borderId="0" xfId="0" applyNumberFormat="1" applyFont="1" applyFill="1" applyAlignment="1">
      <alignment horizontal="center"/>
    </xf>
    <xf numFmtId="210" fontId="15" fillId="47" borderId="0" xfId="0" applyNumberFormat="1" applyFont="1" applyFill="1" applyAlignment="1">
      <alignment horizontal="center" wrapText="1"/>
    </xf>
    <xf numFmtId="210" fontId="23" fillId="47" borderId="0" xfId="0" applyNumberFormat="1" applyFont="1" applyFill="1" applyAlignment="1">
      <alignment horizontal="center"/>
    </xf>
    <xf numFmtId="210" fontId="4" fillId="47" borderId="20" xfId="0" applyNumberFormat="1" applyFont="1" applyFill="1" applyBorder="1" applyAlignment="1" applyProtection="1">
      <alignment horizontal="center" vertical="center" wrapText="1"/>
      <protection/>
    </xf>
    <xf numFmtId="210" fontId="4" fillId="47" borderId="45" xfId="0" applyNumberFormat="1" applyFont="1" applyFill="1" applyBorder="1" applyAlignment="1" applyProtection="1">
      <alignment horizontal="center" vertical="center" wrapText="1"/>
      <protection/>
    </xf>
    <xf numFmtId="210" fontId="32" fillId="47" borderId="20" xfId="0" applyNumberFormat="1" applyFont="1" applyFill="1" applyBorder="1" applyAlignment="1" applyProtection="1">
      <alignment horizontal="center" vertical="center" wrapText="1"/>
      <protection/>
    </xf>
    <xf numFmtId="49" fontId="19" fillId="47" borderId="47" xfId="0" applyNumberFormat="1" applyFont="1" applyFill="1" applyBorder="1" applyAlignment="1" applyProtection="1">
      <alignment horizontal="center" vertical="center" wrapText="1"/>
      <protection/>
    </xf>
    <xf numFmtId="49" fontId="19" fillId="47" borderId="20" xfId="0" applyNumberFormat="1" applyFont="1" applyFill="1" applyBorder="1" applyAlignment="1" applyProtection="1">
      <alignment horizontal="center" vertical="center" wrapText="1"/>
      <protection/>
    </xf>
    <xf numFmtId="0" fontId="4" fillId="47" borderId="48" xfId="0" applyNumberFormat="1" applyFont="1" applyFill="1" applyBorder="1" applyAlignment="1">
      <alignment horizontal="center" vertical="center" wrapText="1"/>
    </xf>
    <xf numFmtId="0" fontId="4" fillId="47" borderId="45" xfId="0" applyNumberFormat="1" applyFont="1" applyFill="1" applyBorder="1" applyAlignment="1">
      <alignment horizontal="center" vertical="center" wrapText="1"/>
    </xf>
    <xf numFmtId="0" fontId="4" fillId="47" borderId="47" xfId="0" applyNumberFormat="1" applyFont="1" applyFill="1" applyBorder="1" applyAlignment="1">
      <alignment horizontal="center" vertical="center" wrapText="1"/>
    </xf>
    <xf numFmtId="0" fontId="4" fillId="47" borderId="20" xfId="0" applyNumberFormat="1" applyFont="1" applyFill="1" applyBorder="1" applyAlignment="1">
      <alignment horizontal="center" vertical="center" wrapText="1"/>
    </xf>
    <xf numFmtId="0" fontId="28" fillId="47" borderId="0" xfId="0" applyNumberFormat="1" applyFont="1" applyFill="1" applyBorder="1" applyAlignment="1">
      <alignment horizontal="center" vertical="center"/>
    </xf>
    <xf numFmtId="4" fontId="4" fillId="47" borderId="49" xfId="0" applyNumberFormat="1" applyFont="1" applyFill="1" applyBorder="1" applyAlignment="1" applyProtection="1">
      <alignment horizontal="center" vertical="center" wrapText="1"/>
      <protection/>
    </xf>
    <xf numFmtId="4" fontId="4" fillId="47" borderId="39" xfId="0" applyNumberFormat="1" applyFont="1" applyFill="1" applyBorder="1" applyAlignment="1" applyProtection="1">
      <alignment horizontal="center" vertical="center" wrapText="1"/>
      <protection/>
    </xf>
    <xf numFmtId="210" fontId="32" fillId="47" borderId="45" xfId="0" applyNumberFormat="1" applyFont="1" applyFill="1" applyBorder="1" applyAlignment="1" applyProtection="1">
      <alignment horizontal="center" vertical="center" wrapText="1"/>
      <protection/>
    </xf>
    <xf numFmtId="49" fontId="8" fillId="49" borderId="26" xfId="0" applyNumberFormat="1" applyFont="1" applyFill="1" applyBorder="1" applyAlignment="1" applyProtection="1">
      <alignment horizontal="center" vertical="center" wrapText="1"/>
      <protection/>
    </xf>
    <xf numFmtId="49" fontId="8" fillId="49" borderId="25" xfId="0" applyNumberFormat="1" applyFont="1" applyFill="1" applyBorder="1" applyAlignment="1" applyProtection="1">
      <alignment horizontal="center" vertical="center" wrapText="1"/>
      <protection/>
    </xf>
    <xf numFmtId="0" fontId="25" fillId="47" borderId="0" xfId="0" applyNumberFormat="1" applyFont="1" applyFill="1" applyBorder="1" applyAlignment="1">
      <alignment horizontal="center" vertical="center"/>
    </xf>
  </cellXfs>
  <cellStyles count="30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omma 2 2" xfId="96"/>
    <cellStyle name="Comma 3" xfId="97"/>
    <cellStyle name="Comma_Sheet1" xfId="98"/>
    <cellStyle name="Currency" xfId="99"/>
    <cellStyle name="Currency [0]" xfId="100"/>
    <cellStyle name="Check Cell" xfId="101"/>
    <cellStyle name="Check Cell 2" xfId="102"/>
    <cellStyle name="Check Cell 3" xfId="103"/>
    <cellStyle name="Explanatory Text" xfId="104"/>
    <cellStyle name="Explanatory Text 2" xfId="105"/>
    <cellStyle name="Explanatory Text 3" xfId="106"/>
    <cellStyle name="Followed Hyperlink" xfId="107"/>
    <cellStyle name="Good" xfId="108"/>
    <cellStyle name="Good 2" xfId="109"/>
    <cellStyle name="Good 3" xfId="110"/>
    <cellStyle name="Heading 1" xfId="111"/>
    <cellStyle name="Heading 1 2" xfId="112"/>
    <cellStyle name="Heading 1 3" xfId="113"/>
    <cellStyle name="Heading 2" xfId="114"/>
    <cellStyle name="Heading 2 2" xfId="115"/>
    <cellStyle name="Heading 2 3" xfId="116"/>
    <cellStyle name="Heading 3" xfId="117"/>
    <cellStyle name="Heading 3 2" xfId="118"/>
    <cellStyle name="Heading 3 3" xfId="119"/>
    <cellStyle name="Heading 4" xfId="120"/>
    <cellStyle name="Heading 4 2" xfId="121"/>
    <cellStyle name="Heading 4 3" xfId="122"/>
    <cellStyle name="Hyperlink" xfId="123"/>
    <cellStyle name="Input" xfId="124"/>
    <cellStyle name="Input 2" xfId="125"/>
    <cellStyle name="Input 3" xfId="126"/>
    <cellStyle name="Linked Cell" xfId="127"/>
    <cellStyle name="Linked Cell 2" xfId="128"/>
    <cellStyle name="Linked Cell 3" xfId="129"/>
    <cellStyle name="Neutral" xfId="130"/>
    <cellStyle name="Neutral 2" xfId="131"/>
    <cellStyle name="Neutral 3" xfId="132"/>
    <cellStyle name="Normal 10" xfId="133"/>
    <cellStyle name="Normal 10 10" xfId="134"/>
    <cellStyle name="Normal 10 2" xfId="135"/>
    <cellStyle name="Normal 10 3" xfId="136"/>
    <cellStyle name="Normal 10 4" xfId="137"/>
    <cellStyle name="Normal 10 5" xfId="138"/>
    <cellStyle name="Normal 10 6" xfId="139"/>
    <cellStyle name="Normal 10 7" xfId="140"/>
    <cellStyle name="Normal 10 8" xfId="141"/>
    <cellStyle name="Normal 10 9" xfId="142"/>
    <cellStyle name="Normal 11" xfId="143"/>
    <cellStyle name="Normal 11 2" xfId="144"/>
    <cellStyle name="Normal 11 3" xfId="145"/>
    <cellStyle name="Normal 11 4" xfId="146"/>
    <cellStyle name="Normal 12" xfId="147"/>
    <cellStyle name="Normal 12 2" xfId="148"/>
    <cellStyle name="Normal 13" xfId="149"/>
    <cellStyle name="Normal 13 2" xfId="150"/>
    <cellStyle name="Normal 13 3" xfId="151"/>
    <cellStyle name="Normal 13 4" xfId="152"/>
    <cellStyle name="Normal 13 5" xfId="153"/>
    <cellStyle name="Normal 14" xfId="154"/>
    <cellStyle name="Normal 14 2" xfId="155"/>
    <cellStyle name="Normal 14 3" xfId="156"/>
    <cellStyle name="Normal 15" xfId="157"/>
    <cellStyle name="Normal 16" xfId="158"/>
    <cellStyle name="Normal 17" xfId="159"/>
    <cellStyle name="Normal 18" xfId="160"/>
    <cellStyle name="Normal 19" xfId="161"/>
    <cellStyle name="Normal 2" xfId="162"/>
    <cellStyle name="Normal 2 2" xfId="163"/>
    <cellStyle name="Normal 2 2 2" xfId="164"/>
    <cellStyle name="Normal 2 2 2 2" xfId="165"/>
    <cellStyle name="Normal 2 3" xfId="166"/>
    <cellStyle name="Normal 2_01" xfId="167"/>
    <cellStyle name="Normal 20" xfId="168"/>
    <cellStyle name="Normal 21" xfId="169"/>
    <cellStyle name="Normal 22" xfId="170"/>
    <cellStyle name="Normal 23" xfId="171"/>
    <cellStyle name="Normal 24" xfId="172"/>
    <cellStyle name="Normal 25" xfId="173"/>
    <cellStyle name="Normal 26" xfId="174"/>
    <cellStyle name="Normal 27" xfId="175"/>
    <cellStyle name="Normal 28" xfId="176"/>
    <cellStyle name="Normal 29" xfId="177"/>
    <cellStyle name="Normal 3" xfId="178"/>
    <cellStyle name="Normal 3 2" xfId="179"/>
    <cellStyle name="Normal 3_01" xfId="180"/>
    <cellStyle name="Normal 30" xfId="181"/>
    <cellStyle name="Normal 31" xfId="182"/>
    <cellStyle name="Normal 32" xfId="183"/>
    <cellStyle name="Normal 33" xfId="184"/>
    <cellStyle name="Normal 34" xfId="185"/>
    <cellStyle name="Normal 35" xfId="186"/>
    <cellStyle name="Normal 36" xfId="187"/>
    <cellStyle name="Normal 37" xfId="188"/>
    <cellStyle name="Normal 38" xfId="189"/>
    <cellStyle name="Normal 39" xfId="190"/>
    <cellStyle name="Normal 4" xfId="191"/>
    <cellStyle name="Normal 4 2" xfId="192"/>
    <cellStyle name="Normal 4_01" xfId="193"/>
    <cellStyle name="Normal 40" xfId="194"/>
    <cellStyle name="Normal 41" xfId="195"/>
    <cellStyle name="Normal 42" xfId="196"/>
    <cellStyle name="Normal 43" xfId="197"/>
    <cellStyle name="Normal 44" xfId="198"/>
    <cellStyle name="Normal 45" xfId="199"/>
    <cellStyle name="Normal 46" xfId="200"/>
    <cellStyle name="Normal 47" xfId="201"/>
    <cellStyle name="Normal 48" xfId="202"/>
    <cellStyle name="Normal 49" xfId="203"/>
    <cellStyle name="Normal 5" xfId="204"/>
    <cellStyle name="Normal 5 10" xfId="205"/>
    <cellStyle name="Normal 5 11" xfId="206"/>
    <cellStyle name="Normal 5 12" xfId="207"/>
    <cellStyle name="Normal 5 13" xfId="208"/>
    <cellStyle name="Normal 5 14" xfId="209"/>
    <cellStyle name="Normal 5 15" xfId="210"/>
    <cellStyle name="Normal 5 16" xfId="211"/>
    <cellStyle name="Normal 5 17" xfId="212"/>
    <cellStyle name="Normal 5 18" xfId="213"/>
    <cellStyle name="Normal 5 19" xfId="214"/>
    <cellStyle name="Normal 5 2" xfId="215"/>
    <cellStyle name="Normal 5 20" xfId="216"/>
    <cellStyle name="Normal 5 3" xfId="217"/>
    <cellStyle name="Normal 5 4" xfId="218"/>
    <cellStyle name="Normal 5 5" xfId="219"/>
    <cellStyle name="Normal 5 6" xfId="220"/>
    <cellStyle name="Normal 5 7" xfId="221"/>
    <cellStyle name="Normal 5 8" xfId="222"/>
    <cellStyle name="Normal 5 9" xfId="223"/>
    <cellStyle name="Normal 50" xfId="224"/>
    <cellStyle name="Normal 6" xfId="225"/>
    <cellStyle name="Normal 6 10" xfId="226"/>
    <cellStyle name="Normal 6 11" xfId="227"/>
    <cellStyle name="Normal 6 12" xfId="228"/>
    <cellStyle name="Normal 6 13" xfId="229"/>
    <cellStyle name="Normal 6 14" xfId="230"/>
    <cellStyle name="Normal 6 15" xfId="231"/>
    <cellStyle name="Normal 6 16" xfId="232"/>
    <cellStyle name="Normal 6 17" xfId="233"/>
    <cellStyle name="Normal 6 18" xfId="234"/>
    <cellStyle name="Normal 6 2" xfId="235"/>
    <cellStyle name="Normal 6 3" xfId="236"/>
    <cellStyle name="Normal 6 4" xfId="237"/>
    <cellStyle name="Normal 6 5" xfId="238"/>
    <cellStyle name="Normal 6 6" xfId="239"/>
    <cellStyle name="Normal 6 7" xfId="240"/>
    <cellStyle name="Normal 6 8" xfId="241"/>
    <cellStyle name="Normal 6 9" xfId="242"/>
    <cellStyle name="Normal 7" xfId="243"/>
    <cellStyle name="Normal 7 10" xfId="244"/>
    <cellStyle name="Normal 7 11" xfId="245"/>
    <cellStyle name="Normal 7 12" xfId="246"/>
    <cellStyle name="Normal 7 13" xfId="247"/>
    <cellStyle name="Normal 7 14" xfId="248"/>
    <cellStyle name="Normal 7 15" xfId="249"/>
    <cellStyle name="Normal 7 16" xfId="250"/>
    <cellStyle name="Normal 7 2" xfId="251"/>
    <cellStyle name="Normal 7 3" xfId="252"/>
    <cellStyle name="Normal 7 4" xfId="253"/>
    <cellStyle name="Normal 7 5" xfId="254"/>
    <cellStyle name="Normal 7 6" xfId="255"/>
    <cellStyle name="Normal 7 7" xfId="256"/>
    <cellStyle name="Normal 7 8" xfId="257"/>
    <cellStyle name="Normal 7 9" xfId="258"/>
    <cellStyle name="Normal 8" xfId="259"/>
    <cellStyle name="Normal 8 10" xfId="260"/>
    <cellStyle name="Normal 8 11" xfId="261"/>
    <cellStyle name="Normal 8 12" xfId="262"/>
    <cellStyle name="Normal 8 13" xfId="263"/>
    <cellStyle name="Normal 8 14" xfId="264"/>
    <cellStyle name="Normal 8 2" xfId="265"/>
    <cellStyle name="Normal 8 3" xfId="266"/>
    <cellStyle name="Normal 8 4" xfId="267"/>
    <cellStyle name="Normal 8 5" xfId="268"/>
    <cellStyle name="Normal 8 6" xfId="269"/>
    <cellStyle name="Normal 8 7" xfId="270"/>
    <cellStyle name="Normal 8 8" xfId="271"/>
    <cellStyle name="Normal 8 9" xfId="272"/>
    <cellStyle name="Normal 9" xfId="273"/>
    <cellStyle name="Normal 9 10" xfId="274"/>
    <cellStyle name="Normal 9 11" xfId="275"/>
    <cellStyle name="Normal 9 12" xfId="276"/>
    <cellStyle name="Normal 9 2" xfId="277"/>
    <cellStyle name="Normal 9 3" xfId="278"/>
    <cellStyle name="Normal 9 4" xfId="279"/>
    <cellStyle name="Normal 9 5" xfId="280"/>
    <cellStyle name="Normal 9 6" xfId="281"/>
    <cellStyle name="Normal 9 7" xfId="282"/>
    <cellStyle name="Normal 9 8" xfId="283"/>
    <cellStyle name="Normal 9 9" xfId="284"/>
    <cellStyle name="Normal_1. (Goc) THONG KE TT01 Toàn tỉnh Hoa Binh 6 tháng 2013" xfId="285"/>
    <cellStyle name="Normal_1. (Goc) THONG KE TT01 Toàn tỉnh Hoa Binh 6 tháng 2013_07" xfId="286"/>
    <cellStyle name="Normal_19 bieu m nhapcong thuc da sao 11 don vi " xfId="287"/>
    <cellStyle name="Normal_Bieu 8 - Bieu 19 toan tinh" xfId="288"/>
    <cellStyle name="Normal_Bieu mau TK tu 11 den 19 (ban phat hanh)" xfId="289"/>
    <cellStyle name="Normal_Bieu mau TK tu 11 den 19 (ban phat hanh)_07" xfId="290"/>
    <cellStyle name="Normal_Sheet1" xfId="291"/>
    <cellStyle name="Normal_Sheet2" xfId="292"/>
    <cellStyle name="Normal_Sheet3" xfId="293"/>
    <cellStyle name="Note" xfId="294"/>
    <cellStyle name="Note 2" xfId="295"/>
    <cellStyle name="Note 3" xfId="296"/>
    <cellStyle name="Output" xfId="297"/>
    <cellStyle name="Output 2" xfId="298"/>
    <cellStyle name="Output 3" xfId="299"/>
    <cellStyle name="Percent" xfId="300"/>
    <cellStyle name="Percent 10" xfId="301"/>
    <cellStyle name="Percent 11" xfId="302"/>
    <cellStyle name="Percent 13" xfId="303"/>
    <cellStyle name="Percent 14" xfId="304"/>
    <cellStyle name="Percent 2" xfId="305"/>
    <cellStyle name="Percent 2 2" xfId="306"/>
    <cellStyle name="Percent 2 2 2" xfId="307"/>
    <cellStyle name="Percent 2 2 2 2" xfId="308"/>
    <cellStyle name="Percent 3" xfId="309"/>
    <cellStyle name="Percent 4" xfId="310"/>
    <cellStyle name="Title" xfId="311"/>
    <cellStyle name="Title 2" xfId="312"/>
    <cellStyle name="Title 3" xfId="313"/>
    <cellStyle name="Total" xfId="314"/>
    <cellStyle name="Total 2" xfId="315"/>
    <cellStyle name="Total 3" xfId="316"/>
    <cellStyle name="Warning Text" xfId="317"/>
    <cellStyle name="Warning Text 2" xfId="318"/>
    <cellStyle name="Warning Text 3" xfId="319"/>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4"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668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6668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6668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4" name="Text Box 1"/>
        <xdr:cNvSpPr txBox="1">
          <a:spLocks noChangeArrowheads="1"/>
        </xdr:cNvSpPr>
      </xdr:nvSpPr>
      <xdr:spPr>
        <a:xfrm>
          <a:off x="16668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hp\Desktop\12%20th&#225;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6"/>
      <sheetName val="07"/>
    </sheetNames>
    <sheetDataSet>
      <sheetData sheetId="11">
        <row r="4">
          <cell r="B4" t="str">
            <v>CTHADS Hải Phòng</v>
          </cell>
        </row>
        <row r="7">
          <cell r="B7" t="str">
            <v>
PHÓ CỤC TRƯỞNG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3.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615" t="s">
        <v>26</v>
      </c>
      <c r="B1" s="615"/>
      <c r="C1" s="619" t="s">
        <v>72</v>
      </c>
      <c r="D1" s="619"/>
      <c r="E1" s="619"/>
      <c r="F1" s="616" t="s">
        <v>68</v>
      </c>
      <c r="G1" s="616"/>
      <c r="H1" s="616"/>
    </row>
    <row r="2" spans="1:8" ht="33.75" customHeight="1">
      <c r="A2" s="617" t="s">
        <v>75</v>
      </c>
      <c r="B2" s="617"/>
      <c r="C2" s="619"/>
      <c r="D2" s="619"/>
      <c r="E2" s="619"/>
      <c r="F2" s="618" t="s">
        <v>69</v>
      </c>
      <c r="G2" s="618"/>
      <c r="H2" s="618"/>
    </row>
    <row r="3" spans="1:8" ht="19.5" customHeight="1">
      <c r="A3" s="6" t="s">
        <v>63</v>
      </c>
      <c r="B3" s="6"/>
      <c r="C3" s="24"/>
      <c r="D3" s="24"/>
      <c r="E3" s="24"/>
      <c r="F3" s="618" t="s">
        <v>70</v>
      </c>
      <c r="G3" s="618"/>
      <c r="H3" s="618"/>
    </row>
    <row r="4" spans="1:8" s="7" customFormat="1" ht="19.5" customHeight="1">
      <c r="A4" s="6"/>
      <c r="B4" s="6"/>
      <c r="D4" s="8"/>
      <c r="F4" s="9" t="s">
        <v>71</v>
      </c>
      <c r="G4" s="9"/>
      <c r="H4" s="9"/>
    </row>
    <row r="5" spans="1:8" s="23" customFormat="1" ht="36" customHeight="1">
      <c r="A5" s="597" t="s">
        <v>55</v>
      </c>
      <c r="B5" s="598"/>
      <c r="C5" s="601" t="s">
        <v>66</v>
      </c>
      <c r="D5" s="602"/>
      <c r="E5" s="603" t="s">
        <v>65</v>
      </c>
      <c r="F5" s="603"/>
      <c r="G5" s="603"/>
      <c r="H5" s="604"/>
    </row>
    <row r="6" spans="1:8" s="23" customFormat="1" ht="20.25" customHeight="1">
      <c r="A6" s="599"/>
      <c r="B6" s="600"/>
      <c r="C6" s="605" t="s">
        <v>3</v>
      </c>
      <c r="D6" s="605" t="s">
        <v>73</v>
      </c>
      <c r="E6" s="607" t="s">
        <v>67</v>
      </c>
      <c r="F6" s="604"/>
      <c r="G6" s="607" t="s">
        <v>74</v>
      </c>
      <c r="H6" s="604"/>
    </row>
    <row r="7" spans="1:8" s="23" customFormat="1" ht="52.5" customHeight="1">
      <c r="A7" s="599"/>
      <c r="B7" s="600"/>
      <c r="C7" s="606"/>
      <c r="D7" s="606"/>
      <c r="E7" s="5" t="s">
        <v>3</v>
      </c>
      <c r="F7" s="5" t="s">
        <v>9</v>
      </c>
      <c r="G7" s="5" t="s">
        <v>3</v>
      </c>
      <c r="H7" s="5" t="s">
        <v>9</v>
      </c>
    </row>
    <row r="8" spans="1:8" ht="15" customHeight="1">
      <c r="A8" s="609" t="s">
        <v>6</v>
      </c>
      <c r="B8" s="610"/>
      <c r="C8" s="10">
        <v>1</v>
      </c>
      <c r="D8" s="10" t="s">
        <v>44</v>
      </c>
      <c r="E8" s="10" t="s">
        <v>47</v>
      </c>
      <c r="F8" s="10" t="s">
        <v>56</v>
      </c>
      <c r="G8" s="10" t="s">
        <v>57</v>
      </c>
      <c r="H8" s="10" t="s">
        <v>58</v>
      </c>
    </row>
    <row r="9" spans="1:8" ht="26.25" customHeight="1">
      <c r="A9" s="611" t="s">
        <v>33</v>
      </c>
      <c r="B9" s="612"/>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47</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613" t="s">
        <v>54</v>
      </c>
      <c r="C16" s="613"/>
      <c r="D16" s="26"/>
      <c r="E16" s="594" t="s">
        <v>19</v>
      </c>
      <c r="F16" s="594"/>
      <c r="G16" s="594"/>
      <c r="H16" s="594"/>
    </row>
    <row r="17" spans="2:8" ht="15.75" customHeight="1">
      <c r="B17" s="613"/>
      <c r="C17" s="613"/>
      <c r="D17" s="26"/>
      <c r="E17" s="595" t="s">
        <v>38</v>
      </c>
      <c r="F17" s="595"/>
      <c r="G17" s="595"/>
      <c r="H17" s="595"/>
    </row>
    <row r="18" spans="2:8" s="27" customFormat="1" ht="15.75" customHeight="1">
      <c r="B18" s="613"/>
      <c r="C18" s="613"/>
      <c r="D18" s="28"/>
      <c r="E18" s="596" t="s">
        <v>53</v>
      </c>
      <c r="F18" s="596"/>
      <c r="G18" s="596"/>
      <c r="H18" s="596"/>
    </row>
    <row r="20" ht="15.75">
      <c r="B20" s="19"/>
    </row>
    <row r="22" ht="15.75" hidden="1">
      <c r="A22" s="20" t="s">
        <v>41</v>
      </c>
    </row>
    <row r="23" spans="1:3" ht="15.75" hidden="1">
      <c r="A23" s="21"/>
      <c r="B23" s="614" t="s">
        <v>48</v>
      </c>
      <c r="C23" s="614"/>
    </row>
    <row r="24" spans="1:8" ht="15.75" customHeight="1" hidden="1">
      <c r="A24" s="22" t="s">
        <v>25</v>
      </c>
      <c r="B24" s="608" t="s">
        <v>51</v>
      </c>
      <c r="C24" s="608"/>
      <c r="D24" s="22"/>
      <c r="E24" s="22"/>
      <c r="F24" s="22"/>
      <c r="G24" s="22"/>
      <c r="H24" s="22"/>
    </row>
    <row r="25" spans="1:8" ht="15" customHeight="1" hidden="1">
      <c r="A25" s="22"/>
      <c r="B25" s="608" t="s">
        <v>52</v>
      </c>
      <c r="C25" s="608"/>
      <c r="D25" s="608"/>
      <c r="E25" s="22"/>
      <c r="F25" s="22"/>
      <c r="G25" s="22"/>
      <c r="H25" s="22"/>
    </row>
    <row r="26" spans="2:3" ht="15.75">
      <c r="B26" s="23"/>
      <c r="C26" s="23"/>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79" t="s">
        <v>224</v>
      </c>
      <c r="B1" s="779"/>
      <c r="C1" s="779"/>
      <c r="D1" s="782" t="s">
        <v>340</v>
      </c>
      <c r="E1" s="782"/>
      <c r="F1" s="782"/>
      <c r="G1" s="782"/>
      <c r="H1" s="782"/>
      <c r="I1" s="782"/>
      <c r="J1" s="191" t="s">
        <v>341</v>
      </c>
      <c r="K1" s="322"/>
      <c r="L1" s="322"/>
    </row>
    <row r="2" spans="1:12" ht="18.75" customHeight="1">
      <c r="A2" s="780" t="s">
        <v>299</v>
      </c>
      <c r="B2" s="780"/>
      <c r="C2" s="780"/>
      <c r="D2" s="874" t="s">
        <v>225</v>
      </c>
      <c r="E2" s="874"/>
      <c r="F2" s="874"/>
      <c r="G2" s="874"/>
      <c r="H2" s="874"/>
      <c r="I2" s="874"/>
      <c r="J2" s="779" t="s">
        <v>342</v>
      </c>
      <c r="K2" s="779"/>
      <c r="L2" s="779"/>
    </row>
    <row r="3" spans="1:12" ht="17.25">
      <c r="A3" s="780" t="s">
        <v>251</v>
      </c>
      <c r="B3" s="780"/>
      <c r="C3" s="780"/>
      <c r="D3" s="875" t="s">
        <v>343</v>
      </c>
      <c r="E3" s="876"/>
      <c r="F3" s="876"/>
      <c r="G3" s="876"/>
      <c r="H3" s="876"/>
      <c r="I3" s="876"/>
      <c r="J3" s="194" t="s">
        <v>359</v>
      </c>
      <c r="K3" s="194"/>
      <c r="L3" s="194"/>
    </row>
    <row r="4" spans="1:12" ht="15.75">
      <c r="A4" s="878" t="s">
        <v>344</v>
      </c>
      <c r="B4" s="878"/>
      <c r="C4" s="878"/>
      <c r="D4" s="879"/>
      <c r="E4" s="879"/>
      <c r="F4" s="879"/>
      <c r="G4" s="879"/>
      <c r="H4" s="879"/>
      <c r="I4" s="879"/>
      <c r="J4" s="775" t="s">
        <v>301</v>
      </c>
      <c r="K4" s="775"/>
      <c r="L4" s="775"/>
    </row>
    <row r="5" spans="1:13" ht="15.75">
      <c r="A5" s="324"/>
      <c r="B5" s="324"/>
      <c r="C5" s="325"/>
      <c r="D5" s="325"/>
      <c r="E5" s="193"/>
      <c r="J5" s="326" t="s">
        <v>345</v>
      </c>
      <c r="K5" s="241"/>
      <c r="L5" s="241"/>
      <c r="M5" s="241"/>
    </row>
    <row r="6" spans="1:13" s="329" customFormat="1" ht="24.75" customHeight="1">
      <c r="A6" s="882" t="s">
        <v>55</v>
      </c>
      <c r="B6" s="883"/>
      <c r="C6" s="877" t="s">
        <v>346</v>
      </c>
      <c r="D6" s="877"/>
      <c r="E6" s="877"/>
      <c r="F6" s="877"/>
      <c r="G6" s="877"/>
      <c r="H6" s="877"/>
      <c r="I6" s="877" t="s">
        <v>226</v>
      </c>
      <c r="J6" s="877"/>
      <c r="K6" s="877"/>
      <c r="L6" s="877"/>
      <c r="M6" s="328"/>
    </row>
    <row r="7" spans="1:13" s="329" customFormat="1" ht="17.25" customHeight="1">
      <c r="A7" s="884"/>
      <c r="B7" s="885"/>
      <c r="C7" s="877" t="s">
        <v>31</v>
      </c>
      <c r="D7" s="877"/>
      <c r="E7" s="877" t="s">
        <v>7</v>
      </c>
      <c r="F7" s="877"/>
      <c r="G7" s="877"/>
      <c r="H7" s="877"/>
      <c r="I7" s="877" t="s">
        <v>227</v>
      </c>
      <c r="J7" s="877"/>
      <c r="K7" s="877" t="s">
        <v>228</v>
      </c>
      <c r="L7" s="877"/>
      <c r="M7" s="328"/>
    </row>
    <row r="8" spans="1:12" s="329" customFormat="1" ht="27.75" customHeight="1">
      <c r="A8" s="884"/>
      <c r="B8" s="885"/>
      <c r="C8" s="877"/>
      <c r="D8" s="877"/>
      <c r="E8" s="877" t="s">
        <v>229</v>
      </c>
      <c r="F8" s="877"/>
      <c r="G8" s="877" t="s">
        <v>230</v>
      </c>
      <c r="H8" s="877"/>
      <c r="I8" s="877"/>
      <c r="J8" s="877"/>
      <c r="K8" s="877"/>
      <c r="L8" s="877"/>
    </row>
    <row r="9" spans="1:12" s="329" customFormat="1" ht="24.75" customHeight="1">
      <c r="A9" s="886"/>
      <c r="B9" s="887"/>
      <c r="C9" s="327" t="s">
        <v>231</v>
      </c>
      <c r="D9" s="327" t="s">
        <v>9</v>
      </c>
      <c r="E9" s="327" t="s">
        <v>3</v>
      </c>
      <c r="F9" s="327" t="s">
        <v>232</v>
      </c>
      <c r="G9" s="327" t="s">
        <v>3</v>
      </c>
      <c r="H9" s="327" t="s">
        <v>232</v>
      </c>
      <c r="I9" s="327" t="s">
        <v>3</v>
      </c>
      <c r="J9" s="327" t="s">
        <v>232</v>
      </c>
      <c r="K9" s="327" t="s">
        <v>3</v>
      </c>
      <c r="L9" s="327" t="s">
        <v>232</v>
      </c>
    </row>
    <row r="10" spans="1:12" s="331" customFormat="1" ht="15.75">
      <c r="A10" s="810" t="s">
        <v>6</v>
      </c>
      <c r="B10" s="811"/>
      <c r="C10" s="330">
        <v>1</v>
      </c>
      <c r="D10" s="330">
        <v>2</v>
      </c>
      <c r="E10" s="330">
        <v>3</v>
      </c>
      <c r="F10" s="330">
        <v>4</v>
      </c>
      <c r="G10" s="330">
        <v>5</v>
      </c>
      <c r="H10" s="330">
        <v>6</v>
      </c>
      <c r="I10" s="330">
        <v>7</v>
      </c>
      <c r="J10" s="330">
        <v>8</v>
      </c>
      <c r="K10" s="330">
        <v>9</v>
      </c>
      <c r="L10" s="330">
        <v>10</v>
      </c>
    </row>
    <row r="11" spans="1:12" s="331" customFormat="1" ht="30.75" customHeight="1">
      <c r="A11" s="799" t="s">
        <v>296</v>
      </c>
      <c r="B11" s="800"/>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86" t="s">
        <v>297</v>
      </c>
      <c r="B12" s="787"/>
      <c r="C12" s="249">
        <v>0</v>
      </c>
      <c r="D12" s="249">
        <v>0</v>
      </c>
      <c r="E12" s="249">
        <v>0</v>
      </c>
      <c r="F12" s="249">
        <v>0</v>
      </c>
      <c r="G12" s="249">
        <v>0</v>
      </c>
      <c r="H12" s="249">
        <v>0</v>
      </c>
      <c r="I12" s="249">
        <v>0</v>
      </c>
      <c r="J12" s="249">
        <v>0</v>
      </c>
      <c r="K12" s="249">
        <v>0</v>
      </c>
      <c r="L12" s="249">
        <v>0</v>
      </c>
    </row>
    <row r="13" spans="1:32" s="331" customFormat="1" ht="17.25" customHeight="1">
      <c r="A13" s="794" t="s">
        <v>30</v>
      </c>
      <c r="B13" s="788"/>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78</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266</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298</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269</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270</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271</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272</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277</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279</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280</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281</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283</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91" t="s">
        <v>284</v>
      </c>
      <c r="C28" s="791"/>
      <c r="D28" s="791"/>
      <c r="E28" s="204"/>
      <c r="F28" s="258"/>
      <c r="G28" s="258"/>
      <c r="H28" s="790" t="s">
        <v>284</v>
      </c>
      <c r="I28" s="790"/>
      <c r="J28" s="790"/>
      <c r="K28" s="790"/>
      <c r="L28" s="790"/>
      <c r="AG28" s="192" t="s">
        <v>285</v>
      </c>
      <c r="AI28" s="190">
        <f>82/88</f>
        <v>0.9318181818181818</v>
      </c>
    </row>
    <row r="29" spans="1:12" s="192" customFormat="1" ht="19.5" customHeight="1">
      <c r="A29" s="202"/>
      <c r="B29" s="792" t="s">
        <v>233</v>
      </c>
      <c r="C29" s="792"/>
      <c r="D29" s="792"/>
      <c r="E29" s="204"/>
      <c r="F29" s="205"/>
      <c r="G29" s="205"/>
      <c r="H29" s="793" t="s">
        <v>151</v>
      </c>
      <c r="I29" s="793"/>
      <c r="J29" s="793"/>
      <c r="K29" s="793"/>
      <c r="L29" s="793"/>
    </row>
    <row r="30" spans="1:12" s="196" customFormat="1" ht="15" customHeight="1">
      <c r="A30" s="202"/>
      <c r="B30" s="881"/>
      <c r="C30" s="881"/>
      <c r="D30" s="881"/>
      <c r="E30" s="204"/>
      <c r="F30" s="205"/>
      <c r="G30" s="205"/>
      <c r="H30" s="754"/>
      <c r="I30" s="754"/>
      <c r="J30" s="754"/>
      <c r="K30" s="754"/>
      <c r="L30" s="754"/>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88" t="s">
        <v>288</v>
      </c>
      <c r="C33" s="888"/>
      <c r="D33" s="888"/>
      <c r="E33" s="336"/>
      <c r="F33" s="336"/>
      <c r="G33" s="336"/>
      <c r="H33" s="336"/>
      <c r="I33" s="336"/>
      <c r="J33" s="337" t="s">
        <v>288</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80" t="s">
        <v>234</v>
      </c>
      <c r="C37" s="880"/>
      <c r="D37" s="880"/>
      <c r="E37" s="880"/>
      <c r="F37" s="880"/>
      <c r="G37" s="880"/>
      <c r="H37" s="880"/>
      <c r="I37" s="880"/>
      <c r="J37" s="880"/>
      <c r="K37" s="339"/>
      <c r="L37" s="294"/>
      <c r="M37" s="265"/>
      <c r="N37" s="265"/>
      <c r="O37" s="265"/>
    </row>
    <row r="38" spans="2:12" s="184" customFormat="1" ht="18.75" hidden="1">
      <c r="B38" s="236" t="s">
        <v>235</v>
      </c>
      <c r="C38" s="186"/>
      <c r="D38" s="186"/>
      <c r="E38" s="186"/>
      <c r="F38" s="186"/>
      <c r="G38" s="186"/>
      <c r="H38" s="186"/>
      <c r="I38" s="186"/>
      <c r="J38" s="186"/>
      <c r="K38" s="338"/>
      <c r="L38" s="186"/>
    </row>
    <row r="39" spans="2:12" ht="18.75" hidden="1">
      <c r="B39" s="340" t="s">
        <v>236</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50" t="s">
        <v>330</v>
      </c>
      <c r="C41" s="650"/>
      <c r="D41" s="650"/>
      <c r="E41" s="210"/>
      <c r="F41" s="210"/>
      <c r="G41" s="182"/>
      <c r="H41" s="651" t="s">
        <v>242</v>
      </c>
      <c r="I41" s="651"/>
      <c r="J41" s="651"/>
      <c r="K41" s="651"/>
      <c r="L41" s="651"/>
      <c r="M41" s="163"/>
    </row>
    <row r="42" spans="2:12" ht="18.75">
      <c r="B42" s="336"/>
      <c r="C42" s="336"/>
      <c r="D42" s="336"/>
      <c r="E42" s="336"/>
      <c r="F42" s="336"/>
      <c r="G42" s="336"/>
      <c r="H42" s="336"/>
      <c r="I42" s="336"/>
      <c r="J42" s="336"/>
      <c r="K42" s="336"/>
      <c r="L42" s="336"/>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89" t="s">
        <v>372</v>
      </c>
      <c r="M1" s="890"/>
      <c r="N1" s="890"/>
      <c r="O1" s="365"/>
      <c r="P1" s="365"/>
      <c r="Q1" s="365"/>
      <c r="R1" s="365"/>
      <c r="S1" s="365"/>
      <c r="T1" s="365"/>
      <c r="U1" s="365"/>
      <c r="V1" s="365"/>
      <c r="W1" s="365"/>
      <c r="X1" s="365"/>
      <c r="Y1" s="366"/>
    </row>
    <row r="2" spans="11:17" ht="34.5" customHeight="1">
      <c r="K2" s="349"/>
      <c r="L2" s="891" t="s">
        <v>379</v>
      </c>
      <c r="M2" s="892"/>
      <c r="N2" s="893"/>
      <c r="O2" s="29"/>
      <c r="P2" s="351"/>
      <c r="Q2" s="347"/>
    </row>
    <row r="3" spans="11:18" ht="31.5" customHeight="1">
      <c r="K3" s="349"/>
      <c r="L3" s="354" t="s">
        <v>388</v>
      </c>
      <c r="M3" s="355">
        <f>'06'!C11</f>
        <v>9208</v>
      </c>
      <c r="N3" s="355"/>
      <c r="O3" s="355"/>
      <c r="P3" s="352"/>
      <c r="Q3" s="348"/>
      <c r="R3" s="345"/>
    </row>
    <row r="4" spans="11:18" ht="30" customHeight="1">
      <c r="K4" s="349"/>
      <c r="L4" s="356" t="s">
        <v>373</v>
      </c>
      <c r="M4" s="357">
        <f>'06'!D11</f>
        <v>8097</v>
      </c>
      <c r="N4" s="355"/>
      <c r="O4" s="355"/>
      <c r="P4" s="352"/>
      <c r="Q4" s="348"/>
      <c r="R4" s="345"/>
    </row>
    <row r="5" spans="11:18" ht="31.5" customHeight="1">
      <c r="K5" s="349"/>
      <c r="L5" s="356" t="s">
        <v>374</v>
      </c>
      <c r="M5" s="357">
        <f>'06'!E11</f>
        <v>1111</v>
      </c>
      <c r="N5" s="355"/>
      <c r="O5" s="355"/>
      <c r="P5" s="352"/>
      <c r="Q5" s="348"/>
      <c r="R5" s="345"/>
    </row>
    <row r="6" spans="11:18" ht="27" customHeight="1">
      <c r="K6" s="349"/>
      <c r="L6" s="354" t="s">
        <v>375</v>
      </c>
      <c r="M6" s="355">
        <f>'06'!F11</f>
        <v>6</v>
      </c>
      <c r="N6" s="355"/>
      <c r="O6" s="355"/>
      <c r="P6" s="352"/>
      <c r="Q6" s="348"/>
      <c r="R6" s="345"/>
    </row>
    <row r="7" spans="11:18" s="342" customFormat="1" ht="30" customHeight="1">
      <c r="K7" s="350"/>
      <c r="L7" s="358" t="s">
        <v>390</v>
      </c>
      <c r="M7" s="355">
        <f>'06'!H11</f>
        <v>9202</v>
      </c>
      <c r="N7" s="355"/>
      <c r="O7" s="355"/>
      <c r="P7" s="352"/>
      <c r="Q7" s="348"/>
      <c r="R7" s="345"/>
    </row>
    <row r="8" spans="11:18" ht="30.75" customHeight="1">
      <c r="K8" s="349"/>
      <c r="L8" s="359" t="s">
        <v>389</v>
      </c>
      <c r="M8" s="360">
        <f>'[7]M6 Tong hop Viec CHV '!$C$12</f>
        <v>1489</v>
      </c>
      <c r="N8" s="355"/>
      <c r="O8" s="355"/>
      <c r="P8" s="352"/>
      <c r="Q8" s="348"/>
      <c r="R8" s="345"/>
    </row>
    <row r="9" spans="11:18" ht="33" customHeight="1">
      <c r="K9" s="349"/>
      <c r="L9" s="367" t="s">
        <v>392</v>
      </c>
      <c r="M9" s="368">
        <f>(M7-M8)/M8</f>
        <v>5.179986568166555</v>
      </c>
      <c r="N9" s="355"/>
      <c r="O9" s="355"/>
      <c r="P9" s="352"/>
      <c r="Q9" s="348"/>
      <c r="R9" s="345"/>
    </row>
    <row r="10" spans="11:18" ht="33" customHeight="1">
      <c r="K10" s="349"/>
      <c r="L10" s="354" t="s">
        <v>391</v>
      </c>
      <c r="M10" s="355">
        <f>'06'!I11</f>
        <v>3443</v>
      </c>
      <c r="N10" s="355" t="s">
        <v>376</v>
      </c>
      <c r="O10" s="361">
        <f>M10/M7</f>
        <v>0.3741577917843947</v>
      </c>
      <c r="P10" s="352"/>
      <c r="Q10" s="348"/>
      <c r="R10" s="345"/>
    </row>
    <row r="11" spans="11:18" ht="22.5" customHeight="1">
      <c r="K11" s="349"/>
      <c r="L11" s="354" t="s">
        <v>393</v>
      </c>
      <c r="M11" s="355">
        <f>'06'!Q11</f>
        <v>5759</v>
      </c>
      <c r="N11" s="355" t="s">
        <v>376</v>
      </c>
      <c r="O11" s="361">
        <f>M11/M7</f>
        <v>0.6258422082156053</v>
      </c>
      <c r="P11" s="352"/>
      <c r="Q11" s="348"/>
      <c r="R11" s="345"/>
    </row>
    <row r="12" spans="11:18" ht="34.5" customHeight="1">
      <c r="K12" s="349"/>
      <c r="L12" s="354" t="s">
        <v>394</v>
      </c>
      <c r="M12" s="355">
        <f>'06'!J11+'06'!K11</f>
        <v>456</v>
      </c>
      <c r="N12" s="354"/>
      <c r="O12" s="354"/>
      <c r="P12" s="346"/>
      <c r="R12" s="346"/>
    </row>
    <row r="13" spans="11:18" ht="33.75" customHeight="1">
      <c r="K13" s="349"/>
      <c r="L13" s="354" t="s">
        <v>395</v>
      </c>
      <c r="M13" s="361">
        <f>M12/M7</f>
        <v>0.04955444468593784</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396</v>
      </c>
      <c r="M16" s="360">
        <f>'[7]M6 Tong hop Viec CHV '!$H$12+'[7]M6 Tong hop Viec CHV '!$I$12+'[7]M6 Tong hop Viec CHV '!$K$12</f>
        <v>749</v>
      </c>
      <c r="N16" s="355"/>
      <c r="O16" s="355"/>
      <c r="P16" s="352"/>
      <c r="R16" s="346"/>
    </row>
    <row r="17" spans="11:18" ht="24.75" customHeight="1">
      <c r="K17" s="349"/>
      <c r="L17" s="367" t="s">
        <v>397</v>
      </c>
      <c r="M17" s="362">
        <f>M16/M8</f>
        <v>0.5030221625251847</v>
      </c>
      <c r="N17" s="355"/>
      <c r="O17" s="355"/>
      <c r="P17" s="352"/>
      <c r="R17" s="346"/>
    </row>
    <row r="18" spans="11:18" ht="26.25" customHeight="1">
      <c r="K18" s="349"/>
      <c r="L18" s="367" t="s">
        <v>377</v>
      </c>
      <c r="M18" s="368">
        <f>M13-M17</f>
        <v>-0.4534677178392469</v>
      </c>
      <c r="N18" s="355"/>
      <c r="O18" s="355"/>
      <c r="P18" s="352"/>
      <c r="R18" s="346"/>
    </row>
    <row r="19" spans="11:18" ht="24.75" customHeight="1">
      <c r="K19" s="349"/>
      <c r="L19" s="354" t="s">
        <v>398</v>
      </c>
      <c r="M19" s="355">
        <f>'06'!J11</f>
        <v>434</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399</v>
      </c>
      <c r="M26" s="361">
        <f>M19/'06'!I11</f>
        <v>0.12605286087714201</v>
      </c>
      <c r="N26" s="355"/>
      <c r="O26" s="355"/>
      <c r="P26" s="352"/>
      <c r="R26" s="346"/>
    </row>
    <row r="27" spans="11:18" ht="24.75" customHeight="1">
      <c r="K27" s="349"/>
      <c r="L27" s="359" t="s">
        <v>400</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401</v>
      </c>
      <c r="M30" s="361">
        <f>M26-M27</f>
        <v>-0.5466090096264551</v>
      </c>
      <c r="N30" s="355"/>
      <c r="O30" s="355"/>
      <c r="P30" s="352"/>
      <c r="R30" s="346"/>
    </row>
    <row r="31" spans="11:18" ht="24.75" customHeight="1">
      <c r="K31" s="349"/>
      <c r="L31" s="354" t="s">
        <v>402</v>
      </c>
      <c r="M31" s="355">
        <f>'06'!R11</f>
        <v>8746</v>
      </c>
      <c r="N31" s="355"/>
      <c r="O31" s="355"/>
      <c r="P31" s="352"/>
      <c r="R31" s="346"/>
    </row>
    <row r="32" spans="11:18" ht="24.75" customHeight="1">
      <c r="K32" s="349"/>
      <c r="L32" s="359" t="s">
        <v>403</v>
      </c>
      <c r="M32" s="360">
        <f>'[7]M6 Tong hop Viec CHV '!$R$12</f>
        <v>719</v>
      </c>
      <c r="N32" s="355"/>
      <c r="O32" s="355"/>
      <c r="P32" s="352"/>
      <c r="R32" s="346"/>
    </row>
    <row r="33" spans="11:18" ht="24.75" customHeight="1">
      <c r="K33" s="349"/>
      <c r="L33" s="367" t="s">
        <v>404</v>
      </c>
      <c r="M33" s="369">
        <f>M31-M32</f>
        <v>8027</v>
      </c>
      <c r="N33" s="369" t="s">
        <v>378</v>
      </c>
      <c r="O33" s="368">
        <f>(M31-M32)/M32</f>
        <v>11.164116828929068</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380</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405</v>
      </c>
      <c r="M42" s="355">
        <f>'07'!C11</f>
        <v>3404164489</v>
      </c>
      <c r="N42" s="355"/>
      <c r="O42" s="355"/>
      <c r="P42" s="346"/>
      <c r="R42" s="346"/>
    </row>
    <row r="43" spans="11:18" ht="24.75" customHeight="1">
      <c r="K43" s="349"/>
      <c r="L43" s="363" t="s">
        <v>98</v>
      </c>
      <c r="M43" s="355">
        <f>'07'!D11</f>
        <v>3209226708</v>
      </c>
      <c r="N43" s="355"/>
      <c r="O43" s="355"/>
      <c r="P43" s="346"/>
      <c r="R43" s="346"/>
    </row>
    <row r="44" spans="11:18" ht="24.75" customHeight="1">
      <c r="K44" s="349"/>
      <c r="L44" s="363" t="s">
        <v>374</v>
      </c>
      <c r="M44" s="355">
        <f>'07'!E11</f>
        <v>194937781</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406</v>
      </c>
      <c r="M47" s="355">
        <f>'07'!F11</f>
        <v>85037</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407</v>
      </c>
      <c r="M50" s="355">
        <f>'07'!H11</f>
        <v>3404079452</v>
      </c>
      <c r="N50" s="355"/>
      <c r="O50" s="355"/>
      <c r="P50" s="346"/>
      <c r="R50" s="346"/>
    </row>
    <row r="51" spans="11:18" ht="24.75" customHeight="1">
      <c r="K51" s="349"/>
      <c r="L51" s="364" t="s">
        <v>408</v>
      </c>
      <c r="M51" s="360">
        <f>'[7]M7 Thop tien CHV'!$C$12</f>
        <v>54227822.442</v>
      </c>
      <c r="N51" s="355"/>
      <c r="O51" s="355"/>
      <c r="P51" s="346"/>
      <c r="R51" s="346"/>
    </row>
    <row r="52" spans="11:18" ht="24.75" customHeight="1">
      <c r="K52" s="349"/>
      <c r="L52" s="377" t="s">
        <v>381</v>
      </c>
      <c r="M52" s="369">
        <f>M50-M51</f>
        <v>3349851629.558</v>
      </c>
      <c r="N52" s="355"/>
      <c r="O52" s="355"/>
      <c r="P52" s="346"/>
      <c r="R52" s="346"/>
    </row>
    <row r="53" spans="11:18" ht="24.75" customHeight="1">
      <c r="K53" s="349"/>
      <c r="L53" s="377" t="s">
        <v>382</v>
      </c>
      <c r="M53" s="368">
        <f>(M52/M51)</f>
        <v>61.77367039107781</v>
      </c>
      <c r="N53" s="355"/>
      <c r="O53" s="355"/>
      <c r="P53" s="346"/>
      <c r="R53" s="346"/>
    </row>
    <row r="54" spans="11:18" ht="24.75" customHeight="1">
      <c r="K54" s="349"/>
      <c r="L54" s="363" t="s">
        <v>409</v>
      </c>
      <c r="M54" s="355">
        <f>'07'!I11</f>
        <v>1854514123</v>
      </c>
      <c r="N54" s="355" t="s">
        <v>383</v>
      </c>
      <c r="O54" s="361">
        <f>'07'!I11/'07'!H11</f>
        <v>0.5447916680999959</v>
      </c>
      <c r="P54" s="346"/>
      <c r="R54" s="346"/>
    </row>
    <row r="55" spans="11:18" ht="24.75" customHeight="1">
      <c r="K55" s="349"/>
      <c r="L55" s="363" t="s">
        <v>410</v>
      </c>
      <c r="M55" s="355">
        <f>'07'!R11</f>
        <v>1549565329</v>
      </c>
      <c r="N55" s="355" t="s">
        <v>383</v>
      </c>
      <c r="O55" s="361">
        <f>'07'!R11/'07'!H11</f>
        <v>0.4552083319000041</v>
      </c>
      <c r="P55" s="346"/>
      <c r="R55" s="346"/>
    </row>
    <row r="56" spans="11:18" ht="24.75" customHeight="1">
      <c r="K56" s="349"/>
      <c r="L56" s="363" t="s">
        <v>411</v>
      </c>
      <c r="M56" s="355">
        <f>'07'!J11+'07'!K11+'07'!L11</f>
        <v>56664754</v>
      </c>
      <c r="N56" s="355" t="s">
        <v>383</v>
      </c>
      <c r="O56" s="361">
        <f>M56/'07'!H11</f>
        <v>0.016646131442880317</v>
      </c>
      <c r="P56" s="346"/>
      <c r="R56" s="346"/>
    </row>
    <row r="57" spans="11:18" ht="24.75" customHeight="1">
      <c r="K57" s="349"/>
      <c r="L57" s="364" t="s">
        <v>412</v>
      </c>
      <c r="M57" s="360">
        <f>'[7]M7 Thop tien CHV'!$H$12+'[7]M7 Thop tien CHV'!$I$12+'[7]M7 Thop tien CHV'!$K$12</f>
        <v>2217726.5</v>
      </c>
      <c r="N57" s="360" t="s">
        <v>383</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413</v>
      </c>
      <c r="M60" s="368">
        <f>O56-O57</f>
        <v>-0.024250338305135018</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414</v>
      </c>
      <c r="M63" s="355">
        <f>'07'!J11</f>
        <v>51469457</v>
      </c>
      <c r="N63" s="355" t="s">
        <v>384</v>
      </c>
      <c r="O63" s="361">
        <f>'07'!J11/'07'!I11</f>
        <v>0.02775360746066424</v>
      </c>
      <c r="P63" s="346"/>
      <c r="R63" s="346"/>
    </row>
    <row r="64" spans="11:16" ht="24.75" customHeight="1">
      <c r="K64" s="349"/>
      <c r="L64" s="364" t="s">
        <v>415</v>
      </c>
      <c r="M64" s="360">
        <f>'[7]M7 Thop tien CHV'!$H$12</f>
        <v>2212774.5</v>
      </c>
      <c r="N64" s="360" t="s">
        <v>385</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416</v>
      </c>
      <c r="M68" s="368">
        <f>O63-O64</f>
        <v>0.013510106140850584</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417</v>
      </c>
      <c r="M72" s="355">
        <f>'07'!S11</f>
        <v>3347414698</v>
      </c>
      <c r="N72" s="355"/>
      <c r="O72" s="355"/>
      <c r="P72" s="346"/>
    </row>
    <row r="73" spans="11:16" ht="24.75" customHeight="1">
      <c r="K73" s="349"/>
      <c r="L73" s="364" t="s">
        <v>418</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386</v>
      </c>
      <c r="M76" s="369">
        <f>M72-M73</f>
        <v>3299287887.638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387</v>
      </c>
      <c r="M79" s="368">
        <f>M76/M73</f>
        <v>68.55405257114346</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E10" sqref="E10"/>
    </sheetView>
  </sheetViews>
  <sheetFormatPr defaultColWidth="9.00390625" defaultRowHeight="15.75"/>
  <cols>
    <col min="1" max="1" width="23.50390625" style="0" customWidth="1"/>
    <col min="2" max="2" width="66.125" style="0" customWidth="1"/>
  </cols>
  <sheetData>
    <row r="2" spans="1:2" ht="62.25" customHeight="1">
      <c r="A2" s="894" t="s">
        <v>432</v>
      </c>
      <c r="B2" s="894"/>
    </row>
    <row r="3" spans="1:2" ht="22.5" customHeight="1">
      <c r="A3" s="380" t="s">
        <v>420</v>
      </c>
      <c r="B3" s="384" t="s">
        <v>596</v>
      </c>
    </row>
    <row r="4" spans="1:2" ht="22.5" customHeight="1">
      <c r="A4" s="380" t="s">
        <v>419</v>
      </c>
      <c r="B4" s="381" t="s">
        <v>540</v>
      </c>
    </row>
    <row r="5" spans="1:2" ht="22.5" customHeight="1">
      <c r="A5" s="380" t="s">
        <v>421</v>
      </c>
      <c r="B5" s="383" t="s">
        <v>539</v>
      </c>
    </row>
    <row r="6" spans="1:2" ht="22.5" customHeight="1">
      <c r="A6" s="380" t="s">
        <v>422</v>
      </c>
      <c r="B6" s="383" t="s">
        <v>434</v>
      </c>
    </row>
    <row r="7" spans="1:2" ht="34.5" customHeight="1">
      <c r="A7" s="380" t="s">
        <v>423</v>
      </c>
      <c r="B7" s="388" t="s">
        <v>541</v>
      </c>
    </row>
    <row r="8" spans="1:2" ht="15.75">
      <c r="A8" s="382" t="s">
        <v>424</v>
      </c>
      <c r="B8" s="389" t="s">
        <v>597</v>
      </c>
    </row>
    <row r="10" spans="1:2" ht="62.25" customHeight="1">
      <c r="A10" s="895" t="s">
        <v>433</v>
      </c>
      <c r="B10" s="895"/>
    </row>
    <row r="11" spans="1:2" ht="15.75">
      <c r="A11" s="896" t="s">
        <v>431</v>
      </c>
      <c r="B11" s="896"/>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U122"/>
  <sheetViews>
    <sheetView showZeros="0" view="pageBreakPreview" zoomScaleSheetLayoutView="100" zoomScalePageLayoutView="0" workbookViewId="0" topLeftCell="A4">
      <selection activeCell="T14" sqref="T14"/>
    </sheetView>
  </sheetViews>
  <sheetFormatPr defaultColWidth="9.00390625" defaultRowHeight="15.75"/>
  <cols>
    <col min="1" max="1" width="5.125" style="396" customWidth="1"/>
    <col min="2" max="2" width="20.375" style="385" customWidth="1"/>
    <col min="3" max="3" width="9.625" style="391" customWidth="1"/>
    <col min="4" max="5" width="7.375" style="23" customWidth="1"/>
    <col min="6" max="6" width="6.50390625" style="23" customWidth="1"/>
    <col min="7" max="7" width="6.75390625" style="23" customWidth="1"/>
    <col min="8" max="8" width="8.875" style="391" customWidth="1"/>
    <col min="9" max="9" width="7.875" style="391" customWidth="1"/>
    <col min="10" max="11" width="6.25390625" style="23" customWidth="1"/>
    <col min="12" max="12" width="5.75390625" style="23" customWidth="1"/>
    <col min="13" max="14" width="5.875" style="23" customWidth="1"/>
    <col min="15" max="15" width="6.125" style="23" customWidth="1"/>
    <col min="16" max="16" width="5.25390625" style="23" customWidth="1"/>
    <col min="17" max="17" width="7.50390625" style="391" customWidth="1"/>
    <col min="18" max="18" width="8.75390625" style="391" customWidth="1"/>
    <col min="19" max="19" width="8.625" style="23" customWidth="1"/>
    <col min="20" max="20" width="9.00390625" style="390" customWidth="1"/>
    <col min="21" max="21" width="9.00390625" style="393" customWidth="1"/>
    <col min="22" max="16384" width="9.00390625" style="23" customWidth="1"/>
  </cols>
  <sheetData>
    <row r="1" spans="1:20" ht="20.25" customHeight="1">
      <c r="A1" s="410" t="s">
        <v>27</v>
      </c>
      <c r="B1" s="410"/>
      <c r="C1" s="516"/>
      <c r="D1" s="517"/>
      <c r="E1" s="910" t="s">
        <v>64</v>
      </c>
      <c r="F1" s="910"/>
      <c r="G1" s="910"/>
      <c r="H1" s="910"/>
      <c r="I1" s="910"/>
      <c r="J1" s="910"/>
      <c r="K1" s="910"/>
      <c r="L1" s="910"/>
      <c r="M1" s="910"/>
      <c r="N1" s="910"/>
      <c r="O1" s="910"/>
      <c r="P1" s="518" t="s">
        <v>426</v>
      </c>
      <c r="Q1" s="518"/>
      <c r="R1" s="518"/>
      <c r="S1" s="518"/>
      <c r="T1" s="519"/>
    </row>
    <row r="2" spans="1:20" ht="17.25" customHeight="1">
      <c r="A2" s="915" t="s">
        <v>238</v>
      </c>
      <c r="B2" s="915"/>
      <c r="C2" s="915"/>
      <c r="D2" s="915"/>
      <c r="E2" s="911" t="s">
        <v>34</v>
      </c>
      <c r="F2" s="911"/>
      <c r="G2" s="911"/>
      <c r="H2" s="911"/>
      <c r="I2" s="911"/>
      <c r="J2" s="911"/>
      <c r="K2" s="911"/>
      <c r="L2" s="911"/>
      <c r="M2" s="911"/>
      <c r="N2" s="911"/>
      <c r="O2" s="911"/>
      <c r="P2" s="916" t="str">
        <f>'[8]Thong tin'!B4</f>
        <v>CTHADS Hải Phòng</v>
      </c>
      <c r="Q2" s="916"/>
      <c r="R2" s="916"/>
      <c r="S2" s="916"/>
      <c r="T2" s="519"/>
    </row>
    <row r="3" spans="1:20" ht="19.5" customHeight="1">
      <c r="A3" s="915" t="s">
        <v>239</v>
      </c>
      <c r="B3" s="915"/>
      <c r="C3" s="915"/>
      <c r="D3" s="915"/>
      <c r="E3" s="912" t="s">
        <v>598</v>
      </c>
      <c r="F3" s="912"/>
      <c r="G3" s="912"/>
      <c r="H3" s="912"/>
      <c r="I3" s="912"/>
      <c r="J3" s="912"/>
      <c r="K3" s="912"/>
      <c r="L3" s="912"/>
      <c r="M3" s="912"/>
      <c r="N3" s="912"/>
      <c r="O3" s="912"/>
      <c r="P3" s="518" t="s">
        <v>537</v>
      </c>
      <c r="Q3" s="516"/>
      <c r="R3" s="518"/>
      <c r="S3" s="518"/>
      <c r="T3" s="519"/>
    </row>
    <row r="4" spans="1:20" ht="14.25" customHeight="1">
      <c r="A4" s="414" t="s">
        <v>117</v>
      </c>
      <c r="B4" s="410"/>
      <c r="C4" s="516"/>
      <c r="D4" s="516"/>
      <c r="E4" s="516"/>
      <c r="F4" s="516"/>
      <c r="G4" s="516"/>
      <c r="H4" s="516"/>
      <c r="I4" s="516"/>
      <c r="J4" s="516"/>
      <c r="K4" s="516"/>
      <c r="L4" s="516"/>
      <c r="M4" s="516"/>
      <c r="N4" s="520"/>
      <c r="O4" s="520"/>
      <c r="P4" s="914" t="s">
        <v>301</v>
      </c>
      <c r="Q4" s="914"/>
      <c r="R4" s="914"/>
      <c r="S4" s="914"/>
      <c r="T4" s="519"/>
    </row>
    <row r="5" spans="1:20" ht="21.75" customHeight="1">
      <c r="A5" s="410"/>
      <c r="B5" s="410"/>
      <c r="C5" s="517"/>
      <c r="D5" s="517"/>
      <c r="E5" s="517"/>
      <c r="F5" s="517"/>
      <c r="G5" s="517"/>
      <c r="H5" s="517"/>
      <c r="I5" s="517"/>
      <c r="J5" s="517"/>
      <c r="K5" s="517"/>
      <c r="L5" s="517"/>
      <c r="M5" s="517"/>
      <c r="N5" s="517"/>
      <c r="O5" s="517"/>
      <c r="P5" s="517"/>
      <c r="Q5" s="521" t="s">
        <v>237</v>
      </c>
      <c r="R5" s="522"/>
      <c r="S5" s="522"/>
      <c r="T5" s="519"/>
    </row>
    <row r="6" spans="1:20" ht="19.5" customHeight="1">
      <c r="A6" s="917" t="s">
        <v>55</v>
      </c>
      <c r="B6" s="918"/>
      <c r="C6" s="904" t="s">
        <v>118</v>
      </c>
      <c r="D6" s="904"/>
      <c r="E6" s="904"/>
      <c r="F6" s="903" t="s">
        <v>99</v>
      </c>
      <c r="G6" s="903" t="s">
        <v>119</v>
      </c>
      <c r="H6" s="913" t="s">
        <v>100</v>
      </c>
      <c r="I6" s="913"/>
      <c r="J6" s="913"/>
      <c r="K6" s="913"/>
      <c r="L6" s="913"/>
      <c r="M6" s="913"/>
      <c r="N6" s="913"/>
      <c r="O6" s="913"/>
      <c r="P6" s="913"/>
      <c r="Q6" s="913"/>
      <c r="R6" s="904" t="s">
        <v>243</v>
      </c>
      <c r="S6" s="904" t="s">
        <v>428</v>
      </c>
      <c r="T6" s="519"/>
    </row>
    <row r="7" spans="1:21" s="378" customFormat="1" ht="27" customHeight="1">
      <c r="A7" s="919"/>
      <c r="B7" s="920"/>
      <c r="C7" s="904" t="s">
        <v>42</v>
      </c>
      <c r="D7" s="904" t="s">
        <v>7</v>
      </c>
      <c r="E7" s="904"/>
      <c r="F7" s="903"/>
      <c r="G7" s="903"/>
      <c r="H7" s="903" t="s">
        <v>100</v>
      </c>
      <c r="I7" s="904" t="s">
        <v>101</v>
      </c>
      <c r="J7" s="904"/>
      <c r="K7" s="904"/>
      <c r="L7" s="904"/>
      <c r="M7" s="904"/>
      <c r="N7" s="904"/>
      <c r="O7" s="904"/>
      <c r="P7" s="904"/>
      <c r="Q7" s="903" t="s">
        <v>110</v>
      </c>
      <c r="R7" s="904"/>
      <c r="S7" s="904"/>
      <c r="T7" s="523"/>
      <c r="U7" s="394"/>
    </row>
    <row r="8" spans="1:20" ht="21.75" customHeight="1">
      <c r="A8" s="919"/>
      <c r="B8" s="920"/>
      <c r="C8" s="904"/>
      <c r="D8" s="904" t="s">
        <v>121</v>
      </c>
      <c r="E8" s="904" t="s">
        <v>122</v>
      </c>
      <c r="F8" s="903"/>
      <c r="G8" s="903"/>
      <c r="H8" s="903"/>
      <c r="I8" s="903" t="s">
        <v>427</v>
      </c>
      <c r="J8" s="904" t="s">
        <v>7</v>
      </c>
      <c r="K8" s="904"/>
      <c r="L8" s="904"/>
      <c r="M8" s="904"/>
      <c r="N8" s="904"/>
      <c r="O8" s="904"/>
      <c r="P8" s="904"/>
      <c r="Q8" s="903"/>
      <c r="R8" s="904"/>
      <c r="S8" s="904"/>
      <c r="T8" s="519"/>
    </row>
    <row r="9" spans="1:20" ht="84" customHeight="1">
      <c r="A9" s="921"/>
      <c r="B9" s="922"/>
      <c r="C9" s="904"/>
      <c r="D9" s="904"/>
      <c r="E9" s="904"/>
      <c r="F9" s="903"/>
      <c r="G9" s="903"/>
      <c r="H9" s="903"/>
      <c r="I9" s="903"/>
      <c r="J9" s="524" t="s">
        <v>123</v>
      </c>
      <c r="K9" s="524" t="s">
        <v>124</v>
      </c>
      <c r="L9" s="525" t="s">
        <v>103</v>
      </c>
      <c r="M9" s="525" t="s">
        <v>125</v>
      </c>
      <c r="N9" s="525" t="s">
        <v>106</v>
      </c>
      <c r="O9" s="525" t="s">
        <v>244</v>
      </c>
      <c r="P9" s="525" t="s">
        <v>109</v>
      </c>
      <c r="Q9" s="903"/>
      <c r="R9" s="904"/>
      <c r="S9" s="904"/>
      <c r="T9" s="519"/>
    </row>
    <row r="10" spans="1:20" ht="22.5" customHeight="1">
      <c r="A10" s="906" t="s">
        <v>6</v>
      </c>
      <c r="B10" s="907"/>
      <c r="C10" s="526">
        <v>1</v>
      </c>
      <c r="D10" s="526">
        <v>2</v>
      </c>
      <c r="E10" s="526">
        <v>3</v>
      </c>
      <c r="F10" s="526">
        <v>4</v>
      </c>
      <c r="G10" s="526">
        <v>5</v>
      </c>
      <c r="H10" s="526">
        <v>6</v>
      </c>
      <c r="I10" s="526">
        <v>7</v>
      </c>
      <c r="J10" s="526">
        <v>8</v>
      </c>
      <c r="K10" s="526">
        <v>9</v>
      </c>
      <c r="L10" s="526">
        <v>10</v>
      </c>
      <c r="M10" s="526">
        <v>11</v>
      </c>
      <c r="N10" s="526">
        <v>12</v>
      </c>
      <c r="O10" s="526">
        <v>13</v>
      </c>
      <c r="P10" s="526">
        <v>14</v>
      </c>
      <c r="Q10" s="526">
        <v>15</v>
      </c>
      <c r="R10" s="526">
        <v>16</v>
      </c>
      <c r="S10" s="527">
        <v>17</v>
      </c>
      <c r="T10" s="519"/>
    </row>
    <row r="11" spans="1:21" s="387" customFormat="1" ht="25.5" customHeight="1">
      <c r="A11" s="908" t="s">
        <v>30</v>
      </c>
      <c r="B11" s="909"/>
      <c r="C11" s="528">
        <f>C12+C31</f>
        <v>9208</v>
      </c>
      <c r="D11" s="528">
        <f aca="true" t="shared" si="0" ref="D11:R11">D12+D31</f>
        <v>8097</v>
      </c>
      <c r="E11" s="528">
        <f t="shared" si="0"/>
        <v>1111</v>
      </c>
      <c r="F11" s="528">
        <f t="shared" si="0"/>
        <v>6</v>
      </c>
      <c r="G11" s="528">
        <f t="shared" si="0"/>
        <v>0</v>
      </c>
      <c r="H11" s="528">
        <f t="shared" si="0"/>
        <v>9202</v>
      </c>
      <c r="I11" s="528">
        <f t="shared" si="0"/>
        <v>3443</v>
      </c>
      <c r="J11" s="528">
        <f t="shared" si="0"/>
        <v>434</v>
      </c>
      <c r="K11" s="528">
        <f t="shared" si="0"/>
        <v>22</v>
      </c>
      <c r="L11" s="528">
        <f t="shared" si="0"/>
        <v>2966</v>
      </c>
      <c r="M11" s="528">
        <f t="shared" si="0"/>
        <v>6</v>
      </c>
      <c r="N11" s="528">
        <f t="shared" si="0"/>
        <v>5</v>
      </c>
      <c r="O11" s="528">
        <f t="shared" si="0"/>
        <v>0</v>
      </c>
      <c r="P11" s="528">
        <f t="shared" si="0"/>
        <v>10</v>
      </c>
      <c r="Q11" s="528">
        <f t="shared" si="0"/>
        <v>5759</v>
      </c>
      <c r="R11" s="528">
        <f t="shared" si="0"/>
        <v>8746</v>
      </c>
      <c r="S11" s="529">
        <f aca="true" t="shared" si="1" ref="S11:S76">(J11+K11)/I11*100</f>
        <v>13.24426372349695</v>
      </c>
      <c r="T11" s="530">
        <f>E11-1949</f>
        <v>-838</v>
      </c>
      <c r="U11" s="395"/>
    </row>
    <row r="12" spans="1:21" s="387" customFormat="1" ht="25.5" customHeight="1">
      <c r="A12" s="531" t="s">
        <v>0</v>
      </c>
      <c r="B12" s="532" t="s">
        <v>78</v>
      </c>
      <c r="C12" s="528">
        <f>SUM(C13:C30)</f>
        <v>259</v>
      </c>
      <c r="D12" s="528">
        <f aca="true" t="shared" si="2" ref="D12:Q12">SUM(D13:D30)</f>
        <v>191</v>
      </c>
      <c r="E12" s="528">
        <f t="shared" si="2"/>
        <v>68</v>
      </c>
      <c r="F12" s="528">
        <f t="shared" si="2"/>
        <v>0</v>
      </c>
      <c r="G12" s="528">
        <f t="shared" si="2"/>
        <v>0</v>
      </c>
      <c r="H12" s="528">
        <f t="shared" si="2"/>
        <v>259</v>
      </c>
      <c r="I12" s="528">
        <f t="shared" si="2"/>
        <v>219</v>
      </c>
      <c r="J12" s="528">
        <f t="shared" si="2"/>
        <v>13</v>
      </c>
      <c r="K12" s="528">
        <f t="shared" si="2"/>
        <v>0</v>
      </c>
      <c r="L12" s="528">
        <f t="shared" si="2"/>
        <v>204</v>
      </c>
      <c r="M12" s="528">
        <f t="shared" si="2"/>
        <v>0</v>
      </c>
      <c r="N12" s="528">
        <f t="shared" si="2"/>
        <v>2</v>
      </c>
      <c r="O12" s="528">
        <f t="shared" si="2"/>
        <v>0</v>
      </c>
      <c r="P12" s="528">
        <f t="shared" si="2"/>
        <v>0</v>
      </c>
      <c r="Q12" s="528">
        <f t="shared" si="2"/>
        <v>40</v>
      </c>
      <c r="R12" s="533">
        <f aca="true" t="shared" si="3" ref="R12:R76">SUM(L12:Q12)</f>
        <v>246</v>
      </c>
      <c r="S12" s="534">
        <f t="shared" si="1"/>
        <v>5.93607305936073</v>
      </c>
      <c r="T12" s="530">
        <f>J11-1048</f>
        <v>-614</v>
      </c>
      <c r="U12" s="395"/>
    </row>
    <row r="13" spans="1:20" ht="25.5" customHeight="1">
      <c r="A13" s="535" t="s">
        <v>45</v>
      </c>
      <c r="B13" s="535" t="s">
        <v>435</v>
      </c>
      <c r="C13" s="573">
        <f>D13+E13</f>
        <v>1</v>
      </c>
      <c r="D13" s="574">
        <v>1</v>
      </c>
      <c r="E13" s="573">
        <v>0</v>
      </c>
      <c r="F13" s="573">
        <v>0</v>
      </c>
      <c r="G13" s="573"/>
      <c r="H13" s="573">
        <f aca="true" t="shared" si="4" ref="H13:H30">I13+Q13</f>
        <v>1</v>
      </c>
      <c r="I13" s="573">
        <f>SUM(J13:P13)</f>
        <v>1</v>
      </c>
      <c r="J13" s="573">
        <v>0</v>
      </c>
      <c r="K13" s="573">
        <v>0</v>
      </c>
      <c r="L13" s="573">
        <v>1</v>
      </c>
      <c r="M13" s="573"/>
      <c r="N13" s="573"/>
      <c r="O13" s="573"/>
      <c r="P13" s="573"/>
      <c r="Q13" s="573"/>
      <c r="R13" s="536">
        <f aca="true" t="shared" si="5" ref="R13:R30">SUM(L13:Q13)</f>
        <v>1</v>
      </c>
      <c r="S13" s="534">
        <f>(J13+K13)/H13*100</f>
        <v>0</v>
      </c>
      <c r="T13" s="530">
        <f>42-K11</f>
        <v>20</v>
      </c>
    </row>
    <row r="14" spans="1:20" ht="25.5" customHeight="1">
      <c r="A14" s="535" t="s">
        <v>46</v>
      </c>
      <c r="B14" s="535" t="s">
        <v>436</v>
      </c>
      <c r="C14" s="573">
        <f aca="true" t="shared" si="6" ref="C14:C30">D14+E14</f>
        <v>2</v>
      </c>
      <c r="D14" s="574">
        <v>2</v>
      </c>
      <c r="E14" s="573">
        <v>0</v>
      </c>
      <c r="F14" s="573">
        <v>0</v>
      </c>
      <c r="G14" s="573"/>
      <c r="H14" s="573">
        <f t="shared" si="4"/>
        <v>2</v>
      </c>
      <c r="I14" s="573">
        <f>SUM(J14:P14)</f>
        <v>2</v>
      </c>
      <c r="J14" s="573">
        <v>0</v>
      </c>
      <c r="K14" s="573">
        <v>0</v>
      </c>
      <c r="L14" s="573">
        <v>2</v>
      </c>
      <c r="M14" s="573"/>
      <c r="N14" s="573"/>
      <c r="O14" s="573"/>
      <c r="P14" s="573"/>
      <c r="Q14" s="573"/>
      <c r="R14" s="536">
        <f t="shared" si="5"/>
        <v>2</v>
      </c>
      <c r="S14" s="534">
        <f t="shared" si="1"/>
        <v>0</v>
      </c>
      <c r="T14" s="530">
        <f aca="true" t="shared" si="7" ref="T12:T75">H14-I14-Q14</f>
        <v>0</v>
      </c>
    </row>
    <row r="15" spans="1:20" ht="25.5" customHeight="1">
      <c r="A15" s="535" t="s">
        <v>102</v>
      </c>
      <c r="B15" s="535" t="s">
        <v>434</v>
      </c>
      <c r="C15" s="573">
        <f t="shared" si="6"/>
        <v>0</v>
      </c>
      <c r="D15" s="574">
        <v>0</v>
      </c>
      <c r="E15" s="573">
        <v>0</v>
      </c>
      <c r="F15" s="573">
        <v>0</v>
      </c>
      <c r="G15" s="573"/>
      <c r="H15" s="573">
        <f t="shared" si="4"/>
        <v>0</v>
      </c>
      <c r="I15" s="573">
        <f aca="true" t="shared" si="8" ref="I15:I30">SUM(J15:P15)</f>
        <v>0</v>
      </c>
      <c r="J15" s="573">
        <v>0</v>
      </c>
      <c r="K15" s="573">
        <v>0</v>
      </c>
      <c r="L15" s="573">
        <v>0</v>
      </c>
      <c r="M15" s="573"/>
      <c r="N15" s="573"/>
      <c r="O15" s="573"/>
      <c r="P15" s="573"/>
      <c r="Q15" s="573"/>
      <c r="R15" s="536">
        <f t="shared" si="5"/>
        <v>0</v>
      </c>
      <c r="S15" s="534" t="e">
        <f t="shared" si="1"/>
        <v>#DIV/0!</v>
      </c>
      <c r="T15" s="530">
        <f t="shared" si="7"/>
        <v>0</v>
      </c>
    </row>
    <row r="16" spans="1:20" ht="25.5" customHeight="1">
      <c r="A16" s="535" t="s">
        <v>104</v>
      </c>
      <c r="B16" s="535" t="s">
        <v>530</v>
      </c>
      <c r="C16" s="573">
        <f t="shared" si="6"/>
        <v>7</v>
      </c>
      <c r="D16" s="574">
        <v>7</v>
      </c>
      <c r="E16" s="573">
        <v>0</v>
      </c>
      <c r="F16" s="573">
        <v>0</v>
      </c>
      <c r="G16" s="573"/>
      <c r="H16" s="573">
        <f t="shared" si="4"/>
        <v>7</v>
      </c>
      <c r="I16" s="573">
        <f t="shared" si="8"/>
        <v>7</v>
      </c>
      <c r="J16" s="573">
        <v>0</v>
      </c>
      <c r="K16" s="573">
        <v>0</v>
      </c>
      <c r="L16" s="573">
        <v>5</v>
      </c>
      <c r="M16" s="573"/>
      <c r="N16" s="573">
        <v>2</v>
      </c>
      <c r="O16" s="573"/>
      <c r="P16" s="573"/>
      <c r="Q16" s="573"/>
      <c r="R16" s="536">
        <f t="shared" si="5"/>
        <v>7</v>
      </c>
      <c r="S16" s="534">
        <f t="shared" si="1"/>
        <v>0</v>
      </c>
      <c r="T16" s="530">
        <f t="shared" si="7"/>
        <v>0</v>
      </c>
    </row>
    <row r="17" spans="1:20" ht="25.5" customHeight="1">
      <c r="A17" s="535" t="s">
        <v>105</v>
      </c>
      <c r="B17" s="535" t="s">
        <v>437</v>
      </c>
      <c r="C17" s="573">
        <f t="shared" si="6"/>
        <v>16</v>
      </c>
      <c r="D17" s="574">
        <v>15</v>
      </c>
      <c r="E17" s="573">
        <v>1</v>
      </c>
      <c r="F17" s="573">
        <v>0</v>
      </c>
      <c r="G17" s="573"/>
      <c r="H17" s="573">
        <f t="shared" si="4"/>
        <v>16</v>
      </c>
      <c r="I17" s="573">
        <f t="shared" si="8"/>
        <v>13</v>
      </c>
      <c r="J17" s="573">
        <v>1</v>
      </c>
      <c r="K17" s="573">
        <v>0</v>
      </c>
      <c r="L17" s="573">
        <v>12</v>
      </c>
      <c r="M17" s="573"/>
      <c r="N17" s="573"/>
      <c r="O17" s="573"/>
      <c r="P17" s="573"/>
      <c r="Q17" s="573">
        <v>3</v>
      </c>
      <c r="R17" s="536">
        <f t="shared" si="5"/>
        <v>15</v>
      </c>
      <c r="S17" s="534">
        <f t="shared" si="1"/>
        <v>7.6923076923076925</v>
      </c>
      <c r="T17" s="530">
        <f t="shared" si="7"/>
        <v>0</v>
      </c>
    </row>
    <row r="18" spans="1:20" ht="25.5" customHeight="1">
      <c r="A18" s="535" t="s">
        <v>107</v>
      </c>
      <c r="B18" s="535" t="s">
        <v>438</v>
      </c>
      <c r="C18" s="573">
        <f t="shared" si="6"/>
        <v>13</v>
      </c>
      <c r="D18" s="574">
        <v>13</v>
      </c>
      <c r="E18" s="573">
        <v>0</v>
      </c>
      <c r="F18" s="573">
        <v>0</v>
      </c>
      <c r="G18" s="573"/>
      <c r="H18" s="573">
        <f t="shared" si="4"/>
        <v>13</v>
      </c>
      <c r="I18" s="573">
        <f t="shared" si="8"/>
        <v>8</v>
      </c>
      <c r="J18" s="573">
        <v>0</v>
      </c>
      <c r="K18" s="573">
        <v>0</v>
      </c>
      <c r="L18" s="575">
        <v>8</v>
      </c>
      <c r="M18" s="575"/>
      <c r="N18" s="576"/>
      <c r="O18" s="576"/>
      <c r="P18" s="576"/>
      <c r="Q18" s="576">
        <v>5</v>
      </c>
      <c r="R18" s="536">
        <f t="shared" si="5"/>
        <v>13</v>
      </c>
      <c r="S18" s="534">
        <f t="shared" si="1"/>
        <v>0</v>
      </c>
      <c r="T18" s="530">
        <f t="shared" si="7"/>
        <v>0</v>
      </c>
    </row>
    <row r="19" spans="1:20" ht="25.5" customHeight="1">
      <c r="A19" s="535" t="s">
        <v>108</v>
      </c>
      <c r="B19" s="535" t="s">
        <v>439</v>
      </c>
      <c r="C19" s="573">
        <f t="shared" si="6"/>
        <v>11</v>
      </c>
      <c r="D19" s="574">
        <v>11</v>
      </c>
      <c r="E19" s="573">
        <v>0</v>
      </c>
      <c r="F19" s="573">
        <v>0</v>
      </c>
      <c r="G19" s="576"/>
      <c r="H19" s="573">
        <f>I19+Q19</f>
        <v>11</v>
      </c>
      <c r="I19" s="573">
        <f t="shared" si="8"/>
        <v>9</v>
      </c>
      <c r="J19" s="573">
        <v>0</v>
      </c>
      <c r="K19" s="573">
        <v>0</v>
      </c>
      <c r="L19" s="576">
        <v>9</v>
      </c>
      <c r="M19" s="576"/>
      <c r="N19" s="575"/>
      <c r="O19" s="576"/>
      <c r="P19" s="576"/>
      <c r="Q19" s="576">
        <v>2</v>
      </c>
      <c r="R19" s="536">
        <f t="shared" si="5"/>
        <v>11</v>
      </c>
      <c r="S19" s="534">
        <f t="shared" si="1"/>
        <v>0</v>
      </c>
      <c r="T19" s="530">
        <f t="shared" si="7"/>
        <v>0</v>
      </c>
    </row>
    <row r="20" spans="1:20" ht="25.5" customHeight="1">
      <c r="A20" s="535" t="s">
        <v>115</v>
      </c>
      <c r="B20" s="535" t="s">
        <v>440</v>
      </c>
      <c r="C20" s="573">
        <f t="shared" si="6"/>
        <v>14</v>
      </c>
      <c r="D20" s="574">
        <v>6</v>
      </c>
      <c r="E20" s="573">
        <v>8</v>
      </c>
      <c r="F20" s="573">
        <v>0</v>
      </c>
      <c r="G20" s="576"/>
      <c r="H20" s="573">
        <f t="shared" si="4"/>
        <v>14</v>
      </c>
      <c r="I20" s="573">
        <f t="shared" si="8"/>
        <v>13</v>
      </c>
      <c r="J20" s="573">
        <v>1</v>
      </c>
      <c r="K20" s="573">
        <v>0</v>
      </c>
      <c r="L20" s="576">
        <v>12</v>
      </c>
      <c r="M20" s="576"/>
      <c r="N20" s="575"/>
      <c r="O20" s="576"/>
      <c r="P20" s="576"/>
      <c r="Q20" s="576">
        <v>1</v>
      </c>
      <c r="R20" s="536">
        <f t="shared" si="5"/>
        <v>13</v>
      </c>
      <c r="S20" s="534">
        <f t="shared" si="1"/>
        <v>7.6923076923076925</v>
      </c>
      <c r="T20" s="530">
        <f t="shared" si="7"/>
        <v>0</v>
      </c>
    </row>
    <row r="21" spans="1:20" ht="25.5" customHeight="1">
      <c r="A21" s="535" t="s">
        <v>425</v>
      </c>
      <c r="B21" s="535" t="s">
        <v>442</v>
      </c>
      <c r="C21" s="573">
        <f t="shared" si="6"/>
        <v>28</v>
      </c>
      <c r="D21" s="574">
        <v>19</v>
      </c>
      <c r="E21" s="573">
        <v>9</v>
      </c>
      <c r="F21" s="573">
        <v>0</v>
      </c>
      <c r="G21" s="578"/>
      <c r="H21" s="573">
        <f t="shared" si="4"/>
        <v>28</v>
      </c>
      <c r="I21" s="573">
        <f t="shared" si="8"/>
        <v>28</v>
      </c>
      <c r="J21" s="573">
        <v>0</v>
      </c>
      <c r="K21" s="573">
        <v>0</v>
      </c>
      <c r="L21" s="578">
        <v>28</v>
      </c>
      <c r="M21" s="578"/>
      <c r="N21" s="575"/>
      <c r="O21" s="578"/>
      <c r="P21" s="578"/>
      <c r="Q21" s="578"/>
      <c r="R21" s="536">
        <f t="shared" si="5"/>
        <v>28</v>
      </c>
      <c r="S21" s="534">
        <f t="shared" si="1"/>
        <v>0</v>
      </c>
      <c r="T21" s="530">
        <f t="shared" si="7"/>
        <v>0</v>
      </c>
    </row>
    <row r="22" spans="1:20" ht="25.5" customHeight="1">
      <c r="A22" s="535" t="s">
        <v>441</v>
      </c>
      <c r="B22" s="535" t="s">
        <v>444</v>
      </c>
      <c r="C22" s="573">
        <f t="shared" si="6"/>
        <v>11</v>
      </c>
      <c r="D22" s="574">
        <v>11</v>
      </c>
      <c r="E22" s="573">
        <v>0</v>
      </c>
      <c r="F22" s="573">
        <v>0</v>
      </c>
      <c r="G22" s="576"/>
      <c r="H22" s="573">
        <f t="shared" si="4"/>
        <v>11</v>
      </c>
      <c r="I22" s="573">
        <f t="shared" si="8"/>
        <v>11</v>
      </c>
      <c r="J22" s="573">
        <v>0</v>
      </c>
      <c r="K22" s="573">
        <v>0</v>
      </c>
      <c r="L22" s="576">
        <v>11</v>
      </c>
      <c r="M22" s="576"/>
      <c r="N22" s="575"/>
      <c r="O22" s="576"/>
      <c r="P22" s="576"/>
      <c r="Q22" s="576"/>
      <c r="R22" s="536">
        <f t="shared" si="5"/>
        <v>11</v>
      </c>
      <c r="S22" s="534">
        <f t="shared" si="1"/>
        <v>0</v>
      </c>
      <c r="T22" s="530">
        <f t="shared" si="7"/>
        <v>0</v>
      </c>
    </row>
    <row r="23" spans="1:20" ht="25.5" customHeight="1">
      <c r="A23" s="535" t="s">
        <v>443</v>
      </c>
      <c r="B23" s="535" t="s">
        <v>544</v>
      </c>
      <c r="C23" s="573">
        <f t="shared" si="6"/>
        <v>22</v>
      </c>
      <c r="D23" s="574">
        <v>14</v>
      </c>
      <c r="E23" s="573">
        <v>8</v>
      </c>
      <c r="F23" s="573">
        <v>0</v>
      </c>
      <c r="G23" s="576"/>
      <c r="H23" s="573">
        <f t="shared" si="4"/>
        <v>22</v>
      </c>
      <c r="I23" s="573">
        <f t="shared" si="8"/>
        <v>18</v>
      </c>
      <c r="J23" s="573">
        <v>0</v>
      </c>
      <c r="K23" s="573">
        <v>0</v>
      </c>
      <c r="L23" s="576">
        <v>18</v>
      </c>
      <c r="M23" s="576"/>
      <c r="N23" s="575"/>
      <c r="O23" s="576"/>
      <c r="P23" s="576"/>
      <c r="Q23" s="576">
        <f>1+3</f>
        <v>4</v>
      </c>
      <c r="R23" s="536">
        <f t="shared" si="5"/>
        <v>22</v>
      </c>
      <c r="S23" s="534">
        <f t="shared" si="1"/>
        <v>0</v>
      </c>
      <c r="T23" s="530">
        <f t="shared" si="7"/>
        <v>0</v>
      </c>
    </row>
    <row r="24" spans="1:20" ht="25.5" customHeight="1">
      <c r="A24" s="535" t="s">
        <v>445</v>
      </c>
      <c r="B24" s="535" t="s">
        <v>545</v>
      </c>
      <c r="C24" s="580">
        <f>D24+E24</f>
        <v>34</v>
      </c>
      <c r="D24" s="573">
        <v>28</v>
      </c>
      <c r="E24" s="573">
        <v>6</v>
      </c>
      <c r="F24" s="573">
        <v>0</v>
      </c>
      <c r="G24" s="536"/>
      <c r="H24" s="580">
        <f>I24+Q24</f>
        <v>34</v>
      </c>
      <c r="I24" s="580">
        <f>SUM(J24:P24)</f>
        <v>28</v>
      </c>
      <c r="J24" s="573">
        <v>0</v>
      </c>
      <c r="K24" s="573">
        <v>0</v>
      </c>
      <c r="L24" s="577">
        <v>28</v>
      </c>
      <c r="M24" s="577"/>
      <c r="N24" s="537"/>
      <c r="O24" s="537"/>
      <c r="P24" s="537"/>
      <c r="Q24" s="537">
        <v>6</v>
      </c>
      <c r="R24" s="536">
        <f t="shared" si="5"/>
        <v>34</v>
      </c>
      <c r="S24" s="534">
        <f t="shared" si="1"/>
        <v>0</v>
      </c>
      <c r="T24" s="530">
        <f t="shared" si="7"/>
        <v>0</v>
      </c>
    </row>
    <row r="25" spans="1:20" ht="25.5" customHeight="1">
      <c r="A25" s="535" t="s">
        <v>446</v>
      </c>
      <c r="B25" s="535" t="s">
        <v>448</v>
      </c>
      <c r="C25" s="580">
        <f>D25+E25</f>
        <v>19</v>
      </c>
      <c r="D25" s="573">
        <v>19</v>
      </c>
      <c r="E25" s="573">
        <v>0</v>
      </c>
      <c r="F25" s="573">
        <v>0</v>
      </c>
      <c r="G25" s="536"/>
      <c r="H25" s="580">
        <f>I25+Q25</f>
        <v>19</v>
      </c>
      <c r="I25" s="580">
        <f>SUM(J25:P25)</f>
        <v>14</v>
      </c>
      <c r="J25" s="573">
        <v>0</v>
      </c>
      <c r="K25" s="573">
        <v>0</v>
      </c>
      <c r="L25" s="577">
        <v>14</v>
      </c>
      <c r="M25" s="577"/>
      <c r="N25" s="537">
        <v>0</v>
      </c>
      <c r="O25" s="537"/>
      <c r="P25" s="537"/>
      <c r="Q25" s="537">
        <v>5</v>
      </c>
      <c r="R25" s="537">
        <f>H25-J25-K25</f>
        <v>19</v>
      </c>
      <c r="S25" s="534">
        <f t="shared" si="1"/>
        <v>0</v>
      </c>
      <c r="T25" s="530">
        <f t="shared" si="7"/>
        <v>0</v>
      </c>
    </row>
    <row r="26" spans="1:20" ht="25.5" customHeight="1">
      <c r="A26" s="535" t="s">
        <v>447</v>
      </c>
      <c r="B26" s="535" t="s">
        <v>450</v>
      </c>
      <c r="C26" s="573">
        <f t="shared" si="6"/>
        <v>11</v>
      </c>
      <c r="D26" s="574">
        <v>5</v>
      </c>
      <c r="E26" s="573">
        <v>6</v>
      </c>
      <c r="F26" s="573">
        <v>0</v>
      </c>
      <c r="G26" s="576"/>
      <c r="H26" s="573">
        <f t="shared" si="4"/>
        <v>11</v>
      </c>
      <c r="I26" s="573">
        <f t="shared" si="8"/>
        <v>8</v>
      </c>
      <c r="J26" s="573">
        <v>2</v>
      </c>
      <c r="K26" s="573">
        <v>0</v>
      </c>
      <c r="L26" s="576">
        <v>6</v>
      </c>
      <c r="M26" s="576">
        <v>0</v>
      </c>
      <c r="N26" s="575"/>
      <c r="O26" s="576"/>
      <c r="P26" s="576"/>
      <c r="Q26" s="576">
        <v>3</v>
      </c>
      <c r="R26" s="536">
        <f t="shared" si="5"/>
        <v>9</v>
      </c>
      <c r="S26" s="534">
        <f t="shared" si="1"/>
        <v>25</v>
      </c>
      <c r="T26" s="530">
        <f t="shared" si="7"/>
        <v>0</v>
      </c>
    </row>
    <row r="27" spans="1:20" ht="25.5" customHeight="1">
      <c r="A27" s="535" t="s">
        <v>449</v>
      </c>
      <c r="B27" s="535" t="s">
        <v>452</v>
      </c>
      <c r="C27" s="573">
        <f t="shared" si="6"/>
        <v>31</v>
      </c>
      <c r="D27" s="574">
        <v>19</v>
      </c>
      <c r="E27" s="573">
        <v>12</v>
      </c>
      <c r="F27" s="573">
        <v>0</v>
      </c>
      <c r="G27" s="579"/>
      <c r="H27" s="573">
        <f t="shared" si="4"/>
        <v>31</v>
      </c>
      <c r="I27" s="573">
        <f t="shared" si="8"/>
        <v>30</v>
      </c>
      <c r="J27" s="573">
        <v>2</v>
      </c>
      <c r="K27" s="573">
        <v>0</v>
      </c>
      <c r="L27" s="575">
        <v>28</v>
      </c>
      <c r="M27" s="575"/>
      <c r="N27" s="575"/>
      <c r="O27" s="576"/>
      <c r="P27" s="576"/>
      <c r="Q27" s="576">
        <v>1</v>
      </c>
      <c r="R27" s="536">
        <f t="shared" si="5"/>
        <v>29</v>
      </c>
      <c r="S27" s="534">
        <f t="shared" si="1"/>
        <v>6.666666666666667</v>
      </c>
      <c r="T27" s="530">
        <f t="shared" si="7"/>
        <v>0</v>
      </c>
    </row>
    <row r="28" spans="1:20" ht="25.5" customHeight="1">
      <c r="A28" s="535" t="s">
        <v>451</v>
      </c>
      <c r="B28" s="535" t="s">
        <v>454</v>
      </c>
      <c r="C28" s="573">
        <f t="shared" si="6"/>
        <v>15</v>
      </c>
      <c r="D28" s="573">
        <v>8</v>
      </c>
      <c r="E28" s="573">
        <v>7</v>
      </c>
      <c r="F28" s="573">
        <v>0</v>
      </c>
      <c r="G28" s="573"/>
      <c r="H28" s="573">
        <f t="shared" si="4"/>
        <v>15</v>
      </c>
      <c r="I28" s="573">
        <f t="shared" si="8"/>
        <v>11</v>
      </c>
      <c r="J28" s="573">
        <v>0</v>
      </c>
      <c r="K28" s="573">
        <v>0</v>
      </c>
      <c r="L28" s="575">
        <v>11</v>
      </c>
      <c r="M28" s="575"/>
      <c r="N28" s="575"/>
      <c r="O28" s="576"/>
      <c r="P28" s="576"/>
      <c r="Q28" s="576">
        <v>4</v>
      </c>
      <c r="R28" s="536">
        <f t="shared" si="5"/>
        <v>15</v>
      </c>
      <c r="S28" s="534">
        <f t="shared" si="1"/>
        <v>0</v>
      </c>
      <c r="T28" s="530">
        <f t="shared" si="7"/>
        <v>0</v>
      </c>
    </row>
    <row r="29" spans="1:20" ht="25.5" customHeight="1">
      <c r="A29" s="535" t="s">
        <v>453</v>
      </c>
      <c r="B29" s="535" t="s">
        <v>553</v>
      </c>
      <c r="C29" s="573">
        <f t="shared" si="6"/>
        <v>17</v>
      </c>
      <c r="D29" s="573">
        <v>6</v>
      </c>
      <c r="E29" s="573">
        <v>11</v>
      </c>
      <c r="F29" s="573">
        <v>0</v>
      </c>
      <c r="G29" s="573">
        <v>0</v>
      </c>
      <c r="H29" s="573">
        <f t="shared" si="4"/>
        <v>17</v>
      </c>
      <c r="I29" s="573">
        <f t="shared" si="8"/>
        <v>17</v>
      </c>
      <c r="J29" s="573">
        <v>7</v>
      </c>
      <c r="K29" s="573">
        <v>0</v>
      </c>
      <c r="L29" s="575">
        <v>10</v>
      </c>
      <c r="M29" s="575"/>
      <c r="N29" s="575"/>
      <c r="O29" s="576"/>
      <c r="P29" s="576"/>
      <c r="Q29" s="576"/>
      <c r="R29" s="536">
        <f t="shared" si="5"/>
        <v>10</v>
      </c>
      <c r="S29" s="534">
        <f t="shared" si="1"/>
        <v>41.17647058823529</v>
      </c>
      <c r="T29" s="530">
        <f t="shared" si="7"/>
        <v>0</v>
      </c>
    </row>
    <row r="30" spans="1:21" s="387" customFormat="1" ht="25.5" customHeight="1">
      <c r="A30" s="535" t="s">
        <v>583</v>
      </c>
      <c r="B30" s="535" t="s">
        <v>546</v>
      </c>
      <c r="C30" s="573">
        <f t="shared" si="6"/>
        <v>7</v>
      </c>
      <c r="D30" s="573">
        <v>7</v>
      </c>
      <c r="E30" s="573">
        <v>0</v>
      </c>
      <c r="F30" s="573">
        <v>0</v>
      </c>
      <c r="G30" s="573"/>
      <c r="H30" s="573">
        <f t="shared" si="4"/>
        <v>7</v>
      </c>
      <c r="I30" s="573">
        <f t="shared" si="8"/>
        <v>1</v>
      </c>
      <c r="J30" s="573">
        <v>0</v>
      </c>
      <c r="K30" s="573">
        <v>0</v>
      </c>
      <c r="L30" s="575">
        <v>1</v>
      </c>
      <c r="M30" s="575"/>
      <c r="N30" s="575"/>
      <c r="O30" s="576"/>
      <c r="P30" s="576"/>
      <c r="Q30" s="576">
        <v>6</v>
      </c>
      <c r="R30" s="536">
        <f t="shared" si="5"/>
        <v>7</v>
      </c>
      <c r="S30" s="534">
        <f t="shared" si="1"/>
        <v>0</v>
      </c>
      <c r="T30" s="530">
        <f t="shared" si="7"/>
        <v>0</v>
      </c>
      <c r="U30" s="395"/>
    </row>
    <row r="31" spans="1:21" s="387" customFormat="1" ht="25.5" customHeight="1">
      <c r="A31" s="514" t="s">
        <v>1</v>
      </c>
      <c r="B31" s="513" t="s">
        <v>455</v>
      </c>
      <c r="C31" s="515">
        <f>C32+C38+C42+C45+C47+C55+C61+C68+C72+C76+C86+C89+C93+C104+C107</f>
        <v>8949</v>
      </c>
      <c r="D31" s="515">
        <f aca="true" t="shared" si="9" ref="D31:Q31">D32+D38+D42+D45+D47+D55+D61+D68+D72+D76+D86+D89+D93+D104+D107</f>
        <v>7906</v>
      </c>
      <c r="E31" s="515">
        <f t="shared" si="9"/>
        <v>1043</v>
      </c>
      <c r="F31" s="515">
        <f t="shared" si="9"/>
        <v>6</v>
      </c>
      <c r="G31" s="515">
        <f t="shared" si="9"/>
        <v>0</v>
      </c>
      <c r="H31" s="515">
        <f t="shared" si="9"/>
        <v>8943</v>
      </c>
      <c r="I31" s="515">
        <f t="shared" si="9"/>
        <v>3224</v>
      </c>
      <c r="J31" s="515">
        <f t="shared" si="9"/>
        <v>421</v>
      </c>
      <c r="K31" s="515">
        <f t="shared" si="9"/>
        <v>22</v>
      </c>
      <c r="L31" s="515">
        <f t="shared" si="9"/>
        <v>2762</v>
      </c>
      <c r="M31" s="515">
        <f t="shared" si="9"/>
        <v>6</v>
      </c>
      <c r="N31" s="515">
        <f t="shared" si="9"/>
        <v>3</v>
      </c>
      <c r="O31" s="515">
        <f t="shared" si="9"/>
        <v>0</v>
      </c>
      <c r="P31" s="515">
        <f t="shared" si="9"/>
        <v>10</v>
      </c>
      <c r="Q31" s="515">
        <f t="shared" si="9"/>
        <v>5719</v>
      </c>
      <c r="R31" s="406">
        <f t="shared" si="3"/>
        <v>8500</v>
      </c>
      <c r="S31" s="408">
        <f t="shared" si="1"/>
        <v>13.740694789081886</v>
      </c>
      <c r="T31" s="530">
        <f t="shared" si="7"/>
        <v>0</v>
      </c>
      <c r="U31" s="395"/>
    </row>
    <row r="32" spans="1:21" s="387" customFormat="1" ht="25.5" customHeight="1">
      <c r="A32" s="514">
        <v>1</v>
      </c>
      <c r="B32" s="399" t="s">
        <v>456</v>
      </c>
      <c r="C32" s="515">
        <f>SUM(C33:C37)</f>
        <v>692</v>
      </c>
      <c r="D32" s="515">
        <f aca="true" t="shared" si="10" ref="D32:Q32">SUM(D33:D37)</f>
        <v>627</v>
      </c>
      <c r="E32" s="515">
        <f t="shared" si="10"/>
        <v>65</v>
      </c>
      <c r="F32" s="515">
        <f t="shared" si="10"/>
        <v>0</v>
      </c>
      <c r="G32" s="515">
        <f t="shared" si="10"/>
        <v>0</v>
      </c>
      <c r="H32" s="515">
        <f t="shared" si="10"/>
        <v>692</v>
      </c>
      <c r="I32" s="515">
        <f t="shared" si="10"/>
        <v>267</v>
      </c>
      <c r="J32" s="515">
        <f t="shared" si="10"/>
        <v>25</v>
      </c>
      <c r="K32" s="515">
        <f t="shared" si="10"/>
        <v>0</v>
      </c>
      <c r="L32" s="515">
        <f t="shared" si="10"/>
        <v>241</v>
      </c>
      <c r="M32" s="515">
        <f t="shared" si="10"/>
        <v>1</v>
      </c>
      <c r="N32" s="515">
        <f t="shared" si="10"/>
        <v>0</v>
      </c>
      <c r="O32" s="515">
        <f t="shared" si="10"/>
        <v>0</v>
      </c>
      <c r="P32" s="515">
        <f t="shared" si="10"/>
        <v>0</v>
      </c>
      <c r="Q32" s="515">
        <f t="shared" si="10"/>
        <v>425</v>
      </c>
      <c r="R32" s="406">
        <f t="shared" si="3"/>
        <v>667</v>
      </c>
      <c r="S32" s="408">
        <f t="shared" si="1"/>
        <v>9.363295880149813</v>
      </c>
      <c r="T32" s="530">
        <f t="shared" si="7"/>
        <v>0</v>
      </c>
      <c r="U32" s="395"/>
    </row>
    <row r="33" spans="1:21" s="387" customFormat="1" ht="25.5" customHeight="1">
      <c r="A33" s="531">
        <v>1.1</v>
      </c>
      <c r="B33" s="541" t="s">
        <v>577</v>
      </c>
      <c r="C33" s="542">
        <f>SUM(E33+D33)</f>
        <v>86</v>
      </c>
      <c r="D33" s="542">
        <v>75</v>
      </c>
      <c r="E33" s="542">
        <v>11</v>
      </c>
      <c r="F33" s="542">
        <v>0</v>
      </c>
      <c r="G33" s="542">
        <v>0</v>
      </c>
      <c r="H33" s="542">
        <f>SUM(Q33+I33)</f>
        <v>86</v>
      </c>
      <c r="I33" s="542">
        <f>SUM(K33+L33+M33+N33+O33+P33+J33)</f>
        <v>44</v>
      </c>
      <c r="J33" s="542">
        <v>10</v>
      </c>
      <c r="K33" s="542">
        <v>0</v>
      </c>
      <c r="L33" s="542">
        <v>34</v>
      </c>
      <c r="M33" s="542">
        <v>0</v>
      </c>
      <c r="N33" s="542">
        <v>0</v>
      </c>
      <c r="O33" s="542">
        <v>0</v>
      </c>
      <c r="P33" s="542">
        <v>0</v>
      </c>
      <c r="Q33" s="542">
        <v>42</v>
      </c>
      <c r="R33" s="539">
        <f t="shared" si="3"/>
        <v>76</v>
      </c>
      <c r="S33" s="534">
        <f t="shared" si="1"/>
        <v>22.727272727272727</v>
      </c>
      <c r="T33" s="530">
        <f t="shared" si="7"/>
        <v>0</v>
      </c>
      <c r="U33" s="395"/>
    </row>
    <row r="34" spans="1:21" s="387" customFormat="1" ht="25.5" customHeight="1">
      <c r="A34" s="531">
        <v>1.2</v>
      </c>
      <c r="B34" s="541" t="s">
        <v>547</v>
      </c>
      <c r="C34" s="542">
        <f>SUM(E34+D34)</f>
        <v>151</v>
      </c>
      <c r="D34" s="542">
        <v>135</v>
      </c>
      <c r="E34" s="542">
        <v>16</v>
      </c>
      <c r="F34" s="542">
        <v>0</v>
      </c>
      <c r="G34" s="542">
        <v>0</v>
      </c>
      <c r="H34" s="542">
        <f>SUM(Q34+I34)</f>
        <v>151</v>
      </c>
      <c r="I34" s="542">
        <f>SUM(K34+L34+M34+N34+O34+P34+J34)</f>
        <v>54</v>
      </c>
      <c r="J34" s="542">
        <v>4</v>
      </c>
      <c r="K34" s="542">
        <v>0</v>
      </c>
      <c r="L34" s="542">
        <v>49</v>
      </c>
      <c r="M34" s="542">
        <v>1</v>
      </c>
      <c r="N34" s="542">
        <v>0</v>
      </c>
      <c r="O34" s="542">
        <v>0</v>
      </c>
      <c r="P34" s="542">
        <v>0</v>
      </c>
      <c r="Q34" s="542">
        <v>97</v>
      </c>
      <c r="R34" s="539">
        <f t="shared" si="3"/>
        <v>147</v>
      </c>
      <c r="S34" s="534">
        <f t="shared" si="1"/>
        <v>7.4074074074074066</v>
      </c>
      <c r="T34" s="530">
        <f t="shared" si="7"/>
        <v>0</v>
      </c>
      <c r="U34" s="395"/>
    </row>
    <row r="35" spans="1:21" s="387" customFormat="1" ht="25.5" customHeight="1">
      <c r="A35" s="531">
        <v>1.3</v>
      </c>
      <c r="B35" s="541" t="s">
        <v>457</v>
      </c>
      <c r="C35" s="542">
        <f>SUM(E35+D35)</f>
        <v>127</v>
      </c>
      <c r="D35" s="542">
        <v>112</v>
      </c>
      <c r="E35" s="542">
        <v>15</v>
      </c>
      <c r="F35" s="542">
        <v>0</v>
      </c>
      <c r="G35" s="542">
        <v>0</v>
      </c>
      <c r="H35" s="542">
        <f>SUM(Q35+I35)</f>
        <v>127</v>
      </c>
      <c r="I35" s="542">
        <f>SUM(K35+L35+M35+N35+O35+P35+J35)</f>
        <v>53</v>
      </c>
      <c r="J35" s="542">
        <v>7</v>
      </c>
      <c r="K35" s="542">
        <v>0</v>
      </c>
      <c r="L35" s="542">
        <v>46</v>
      </c>
      <c r="M35" s="542">
        <v>0</v>
      </c>
      <c r="N35" s="542">
        <v>0</v>
      </c>
      <c r="O35" s="542">
        <v>0</v>
      </c>
      <c r="P35" s="542">
        <v>0</v>
      </c>
      <c r="Q35" s="542">
        <v>74</v>
      </c>
      <c r="R35" s="539">
        <f t="shared" si="3"/>
        <v>120</v>
      </c>
      <c r="S35" s="534">
        <f t="shared" si="1"/>
        <v>13.20754716981132</v>
      </c>
      <c r="T35" s="530">
        <f t="shared" si="7"/>
        <v>0</v>
      </c>
      <c r="U35" s="395"/>
    </row>
    <row r="36" spans="1:21" s="387" customFormat="1" ht="25.5" customHeight="1">
      <c r="A36" s="531">
        <v>1.4</v>
      </c>
      <c r="B36" s="541" t="s">
        <v>548</v>
      </c>
      <c r="C36" s="542">
        <f>SUM(E36+D36)</f>
        <v>181</v>
      </c>
      <c r="D36" s="542">
        <v>163</v>
      </c>
      <c r="E36" s="542">
        <v>18</v>
      </c>
      <c r="F36" s="542">
        <v>0</v>
      </c>
      <c r="G36" s="542">
        <v>0</v>
      </c>
      <c r="H36" s="542">
        <f>SUM(Q36+I36)</f>
        <v>181</v>
      </c>
      <c r="I36" s="542">
        <f>SUM(K36+L36+M36+N36+O36+P36+J36)</f>
        <v>64</v>
      </c>
      <c r="J36" s="542">
        <v>4</v>
      </c>
      <c r="K36" s="542">
        <v>0</v>
      </c>
      <c r="L36" s="542">
        <v>60</v>
      </c>
      <c r="M36" s="542">
        <v>0</v>
      </c>
      <c r="N36" s="542">
        <v>0</v>
      </c>
      <c r="O36" s="542">
        <v>0</v>
      </c>
      <c r="P36" s="542">
        <v>0</v>
      </c>
      <c r="Q36" s="542">
        <v>117</v>
      </c>
      <c r="R36" s="539">
        <f t="shared" si="3"/>
        <v>177</v>
      </c>
      <c r="S36" s="534">
        <f t="shared" si="1"/>
        <v>6.25</v>
      </c>
      <c r="T36" s="530">
        <f t="shared" si="7"/>
        <v>0</v>
      </c>
      <c r="U36" s="395"/>
    </row>
    <row r="37" spans="1:21" s="387" customFormat="1" ht="25.5" customHeight="1">
      <c r="A37" s="531">
        <v>1.5</v>
      </c>
      <c r="B37" s="541" t="s">
        <v>518</v>
      </c>
      <c r="C37" s="542">
        <f>SUM(E37+D37)</f>
        <v>147</v>
      </c>
      <c r="D37" s="542">
        <v>142</v>
      </c>
      <c r="E37" s="542">
        <v>5</v>
      </c>
      <c r="F37" s="542">
        <v>0</v>
      </c>
      <c r="G37" s="542">
        <v>0</v>
      </c>
      <c r="H37" s="542">
        <f>SUM(Q37+I37)</f>
        <v>147</v>
      </c>
      <c r="I37" s="542">
        <f>SUM(K37+L37+M37+N37+O37+P37+J37)</f>
        <v>52</v>
      </c>
      <c r="J37" s="542">
        <v>0</v>
      </c>
      <c r="K37" s="542">
        <v>0</v>
      </c>
      <c r="L37" s="542">
        <v>52</v>
      </c>
      <c r="M37" s="542">
        <v>0</v>
      </c>
      <c r="N37" s="542">
        <v>0</v>
      </c>
      <c r="O37" s="542">
        <v>0</v>
      </c>
      <c r="P37" s="542">
        <v>0</v>
      </c>
      <c r="Q37" s="542">
        <v>95</v>
      </c>
      <c r="R37" s="539">
        <f t="shared" si="3"/>
        <v>147</v>
      </c>
      <c r="S37" s="534">
        <f t="shared" si="1"/>
        <v>0</v>
      </c>
      <c r="T37" s="530">
        <f t="shared" si="7"/>
        <v>0</v>
      </c>
      <c r="U37" s="395"/>
    </row>
    <row r="38" spans="1:21" s="387" customFormat="1" ht="25.5" customHeight="1">
      <c r="A38" s="514">
        <v>2</v>
      </c>
      <c r="B38" s="399" t="s">
        <v>458</v>
      </c>
      <c r="C38" s="515">
        <f>SUM(C39:C41)</f>
        <v>244</v>
      </c>
      <c r="D38" s="515">
        <f aca="true" t="shared" si="11" ref="D38:Q38">SUM(D39:D41)</f>
        <v>175</v>
      </c>
      <c r="E38" s="515">
        <f t="shared" si="11"/>
        <v>69</v>
      </c>
      <c r="F38" s="515">
        <f t="shared" si="11"/>
        <v>0</v>
      </c>
      <c r="G38" s="515">
        <f t="shared" si="11"/>
        <v>0</v>
      </c>
      <c r="H38" s="515">
        <f t="shared" si="11"/>
        <v>244</v>
      </c>
      <c r="I38" s="515">
        <f t="shared" si="11"/>
        <v>102</v>
      </c>
      <c r="J38" s="515">
        <f t="shared" si="11"/>
        <v>53</v>
      </c>
      <c r="K38" s="515">
        <f t="shared" si="11"/>
        <v>4</v>
      </c>
      <c r="L38" s="515">
        <f t="shared" si="11"/>
        <v>42</v>
      </c>
      <c r="M38" s="515">
        <f t="shared" si="11"/>
        <v>0</v>
      </c>
      <c r="N38" s="515">
        <f t="shared" si="11"/>
        <v>1</v>
      </c>
      <c r="O38" s="515">
        <f t="shared" si="11"/>
        <v>0</v>
      </c>
      <c r="P38" s="515">
        <f t="shared" si="11"/>
        <v>2</v>
      </c>
      <c r="Q38" s="515">
        <f t="shared" si="11"/>
        <v>142</v>
      </c>
      <c r="R38" s="406">
        <f t="shared" si="3"/>
        <v>187</v>
      </c>
      <c r="S38" s="408">
        <f t="shared" si="1"/>
        <v>55.88235294117647</v>
      </c>
      <c r="T38" s="530">
        <f t="shared" si="7"/>
        <v>0</v>
      </c>
      <c r="U38" s="395"/>
    </row>
    <row r="39" spans="1:21" s="387" customFormat="1" ht="23.25" customHeight="1">
      <c r="A39" s="531">
        <v>2.1</v>
      </c>
      <c r="B39" s="543" t="s">
        <v>459</v>
      </c>
      <c r="C39" s="542">
        <f>D39+E39</f>
        <v>52</v>
      </c>
      <c r="D39" s="542">
        <v>11</v>
      </c>
      <c r="E39" s="542">
        <v>41</v>
      </c>
      <c r="F39" s="542">
        <v>0</v>
      </c>
      <c r="G39" s="542"/>
      <c r="H39" s="542">
        <f>I39+Q39</f>
        <v>52</v>
      </c>
      <c r="I39" s="542">
        <f>J39+K39+L39+M39+N39+O39+P39</f>
        <v>43</v>
      </c>
      <c r="J39" s="542">
        <v>39</v>
      </c>
      <c r="K39" s="542">
        <v>0</v>
      </c>
      <c r="L39" s="542">
        <v>4</v>
      </c>
      <c r="M39" s="542"/>
      <c r="N39" s="542"/>
      <c r="O39" s="542"/>
      <c r="P39" s="544"/>
      <c r="Q39" s="545">
        <v>9</v>
      </c>
      <c r="R39" s="539">
        <f t="shared" si="3"/>
        <v>13</v>
      </c>
      <c r="S39" s="534">
        <f t="shared" si="1"/>
        <v>90.69767441860465</v>
      </c>
      <c r="T39" s="530">
        <f t="shared" si="7"/>
        <v>0</v>
      </c>
      <c r="U39" s="395"/>
    </row>
    <row r="40" spans="1:21" s="387" customFormat="1" ht="23.25" customHeight="1">
      <c r="A40" s="531">
        <v>2.2</v>
      </c>
      <c r="B40" s="543" t="s">
        <v>460</v>
      </c>
      <c r="C40" s="542">
        <f>D40+E40</f>
        <v>93</v>
      </c>
      <c r="D40" s="542">
        <v>78</v>
      </c>
      <c r="E40" s="542">
        <v>15</v>
      </c>
      <c r="F40" s="542">
        <f>C40-H40</f>
        <v>0</v>
      </c>
      <c r="G40" s="542"/>
      <c r="H40" s="542">
        <f>I40+Q40</f>
        <v>93</v>
      </c>
      <c r="I40" s="542">
        <f>J40+K40+L40+M40+N40+O40+P40</f>
        <v>29</v>
      </c>
      <c r="J40" s="542">
        <v>11</v>
      </c>
      <c r="K40" s="542">
        <v>1</v>
      </c>
      <c r="L40" s="542">
        <v>17</v>
      </c>
      <c r="M40" s="542"/>
      <c r="N40" s="542"/>
      <c r="O40" s="542"/>
      <c r="P40" s="544">
        <v>0</v>
      </c>
      <c r="Q40" s="545">
        <v>64</v>
      </c>
      <c r="R40" s="539">
        <f t="shared" si="3"/>
        <v>81</v>
      </c>
      <c r="S40" s="534">
        <f t="shared" si="1"/>
        <v>41.37931034482759</v>
      </c>
      <c r="T40" s="530">
        <f t="shared" si="7"/>
        <v>0</v>
      </c>
      <c r="U40" s="395"/>
    </row>
    <row r="41" spans="1:21" s="387" customFormat="1" ht="23.25" customHeight="1">
      <c r="A41" s="531">
        <v>2.3</v>
      </c>
      <c r="B41" s="543" t="s">
        <v>461</v>
      </c>
      <c r="C41" s="542">
        <f>D41+E41</f>
        <v>99</v>
      </c>
      <c r="D41" s="542">
        <v>86</v>
      </c>
      <c r="E41" s="542">
        <v>13</v>
      </c>
      <c r="F41" s="542"/>
      <c r="G41" s="542"/>
      <c r="H41" s="542">
        <f>I41+Q41</f>
        <v>99</v>
      </c>
      <c r="I41" s="542">
        <f>J41+K41+L41+M41+N41+O41+P41</f>
        <v>30</v>
      </c>
      <c r="J41" s="542">
        <v>3</v>
      </c>
      <c r="K41" s="542">
        <v>3</v>
      </c>
      <c r="L41" s="542">
        <v>21</v>
      </c>
      <c r="M41" s="542"/>
      <c r="N41" s="542">
        <v>1</v>
      </c>
      <c r="O41" s="542"/>
      <c r="P41" s="544">
        <v>2</v>
      </c>
      <c r="Q41" s="545">
        <v>69</v>
      </c>
      <c r="R41" s="539">
        <f t="shared" si="3"/>
        <v>93</v>
      </c>
      <c r="S41" s="534">
        <f t="shared" si="1"/>
        <v>20</v>
      </c>
      <c r="T41" s="530">
        <f t="shared" si="7"/>
        <v>0</v>
      </c>
      <c r="U41" s="395"/>
    </row>
    <row r="42" spans="1:21" s="387" customFormat="1" ht="23.25" customHeight="1">
      <c r="A42" s="514">
        <v>3</v>
      </c>
      <c r="B42" s="399" t="s">
        <v>463</v>
      </c>
      <c r="C42" s="515">
        <f>C43+C44</f>
        <v>158</v>
      </c>
      <c r="D42" s="515">
        <f aca="true" t="shared" si="12" ref="D42:Q42">D43+D44</f>
        <v>132</v>
      </c>
      <c r="E42" s="515">
        <f t="shared" si="12"/>
        <v>26</v>
      </c>
      <c r="F42" s="515">
        <f t="shared" si="12"/>
        <v>0</v>
      </c>
      <c r="G42" s="515">
        <f t="shared" si="12"/>
        <v>0</v>
      </c>
      <c r="H42" s="515">
        <f t="shared" si="12"/>
        <v>158</v>
      </c>
      <c r="I42" s="515">
        <f t="shared" si="12"/>
        <v>83</v>
      </c>
      <c r="J42" s="515">
        <f t="shared" si="12"/>
        <v>14</v>
      </c>
      <c r="K42" s="515">
        <f t="shared" si="12"/>
        <v>0</v>
      </c>
      <c r="L42" s="515">
        <f t="shared" si="12"/>
        <v>68</v>
      </c>
      <c r="M42" s="515">
        <f t="shared" si="12"/>
        <v>0</v>
      </c>
      <c r="N42" s="515">
        <f t="shared" si="12"/>
        <v>0</v>
      </c>
      <c r="O42" s="515">
        <f t="shared" si="12"/>
        <v>0</v>
      </c>
      <c r="P42" s="515">
        <f t="shared" si="12"/>
        <v>1</v>
      </c>
      <c r="Q42" s="515">
        <f t="shared" si="12"/>
        <v>75</v>
      </c>
      <c r="R42" s="406">
        <f t="shared" si="3"/>
        <v>144</v>
      </c>
      <c r="S42" s="408">
        <f t="shared" si="1"/>
        <v>16.867469879518072</v>
      </c>
      <c r="T42" s="530">
        <f t="shared" si="7"/>
        <v>0</v>
      </c>
      <c r="U42" s="395"/>
    </row>
    <row r="43" spans="1:21" s="387" customFormat="1" ht="23.25" customHeight="1">
      <c r="A43" s="531">
        <v>3.1</v>
      </c>
      <c r="B43" s="532" t="s">
        <v>464</v>
      </c>
      <c r="C43" s="542">
        <f>D43+E43</f>
        <v>60</v>
      </c>
      <c r="D43" s="542">
        <v>45</v>
      </c>
      <c r="E43" s="542">
        <v>15</v>
      </c>
      <c r="F43" s="542">
        <v>0</v>
      </c>
      <c r="G43" s="542">
        <v>0</v>
      </c>
      <c r="H43" s="542">
        <f>I43+Q43</f>
        <v>60</v>
      </c>
      <c r="I43" s="542">
        <f>SUM(J43:P43)</f>
        <v>34</v>
      </c>
      <c r="J43" s="542">
        <v>9</v>
      </c>
      <c r="K43" s="542">
        <v>0</v>
      </c>
      <c r="L43" s="542">
        <v>24</v>
      </c>
      <c r="M43" s="542">
        <v>0</v>
      </c>
      <c r="N43" s="542">
        <v>0</v>
      </c>
      <c r="O43" s="542">
        <v>0</v>
      </c>
      <c r="P43" s="544">
        <v>1</v>
      </c>
      <c r="Q43" s="545">
        <v>26</v>
      </c>
      <c r="R43" s="539">
        <f t="shared" si="3"/>
        <v>51</v>
      </c>
      <c r="S43" s="534">
        <f t="shared" si="1"/>
        <v>26.47058823529412</v>
      </c>
      <c r="T43" s="530">
        <f t="shared" si="7"/>
        <v>0</v>
      </c>
      <c r="U43" s="395"/>
    </row>
    <row r="44" spans="1:21" s="387" customFormat="1" ht="23.25" customHeight="1">
      <c r="A44" s="531">
        <v>3.2</v>
      </c>
      <c r="B44" s="532" t="s">
        <v>465</v>
      </c>
      <c r="C44" s="542">
        <f>D44+E44</f>
        <v>98</v>
      </c>
      <c r="D44" s="542">
        <v>87</v>
      </c>
      <c r="E44" s="542">
        <v>11</v>
      </c>
      <c r="F44" s="542">
        <v>0</v>
      </c>
      <c r="G44" s="542">
        <v>0</v>
      </c>
      <c r="H44" s="542">
        <f>I44+Q44</f>
        <v>98</v>
      </c>
      <c r="I44" s="542">
        <f>SUM(J44:P44)</f>
        <v>49</v>
      </c>
      <c r="J44" s="542">
        <v>5</v>
      </c>
      <c r="K44" s="542">
        <v>0</v>
      </c>
      <c r="L44" s="542">
        <v>44</v>
      </c>
      <c r="M44" s="542">
        <v>0</v>
      </c>
      <c r="N44" s="542">
        <v>0</v>
      </c>
      <c r="O44" s="542">
        <v>0</v>
      </c>
      <c r="P44" s="544">
        <v>0</v>
      </c>
      <c r="Q44" s="545">
        <v>49</v>
      </c>
      <c r="R44" s="539">
        <f t="shared" si="3"/>
        <v>93</v>
      </c>
      <c r="S44" s="534">
        <f t="shared" si="1"/>
        <v>10.204081632653061</v>
      </c>
      <c r="T44" s="530">
        <f t="shared" si="7"/>
        <v>0</v>
      </c>
      <c r="U44" s="395"/>
    </row>
    <row r="45" spans="1:21" s="387" customFormat="1" ht="23.25" customHeight="1">
      <c r="A45" s="514">
        <v>4</v>
      </c>
      <c r="B45" s="399" t="s">
        <v>467</v>
      </c>
      <c r="C45" s="515">
        <f>SUM(C46)</f>
        <v>1</v>
      </c>
      <c r="D45" s="515">
        <f aca="true" t="shared" si="13" ref="D45:R45">SUM(D46)</f>
        <v>0</v>
      </c>
      <c r="E45" s="515">
        <f t="shared" si="13"/>
        <v>1</v>
      </c>
      <c r="F45" s="515">
        <f t="shared" si="13"/>
        <v>0</v>
      </c>
      <c r="G45" s="515">
        <f t="shared" si="13"/>
        <v>0</v>
      </c>
      <c r="H45" s="515">
        <f t="shared" si="13"/>
        <v>1</v>
      </c>
      <c r="I45" s="515">
        <f t="shared" si="13"/>
        <v>1</v>
      </c>
      <c r="J45" s="515">
        <f t="shared" si="13"/>
        <v>1</v>
      </c>
      <c r="K45" s="515">
        <f t="shared" si="13"/>
        <v>0</v>
      </c>
      <c r="L45" s="515">
        <f t="shared" si="13"/>
        <v>0</v>
      </c>
      <c r="M45" s="515">
        <f t="shared" si="13"/>
        <v>0</v>
      </c>
      <c r="N45" s="515">
        <f t="shared" si="13"/>
        <v>0</v>
      </c>
      <c r="O45" s="515">
        <f t="shared" si="13"/>
        <v>0</v>
      </c>
      <c r="P45" s="515">
        <f t="shared" si="13"/>
        <v>0</v>
      </c>
      <c r="Q45" s="515">
        <f t="shared" si="13"/>
        <v>0</v>
      </c>
      <c r="R45" s="515">
        <f t="shared" si="13"/>
        <v>0</v>
      </c>
      <c r="S45" s="408">
        <f t="shared" si="1"/>
        <v>100</v>
      </c>
      <c r="T45" s="530">
        <f t="shared" si="7"/>
        <v>0</v>
      </c>
      <c r="U45" s="395"/>
    </row>
    <row r="46" spans="1:21" s="387" customFormat="1" ht="23.25" customHeight="1">
      <c r="A46" s="531" t="s">
        <v>111</v>
      </c>
      <c r="B46" s="540" t="s">
        <v>468</v>
      </c>
      <c r="C46" s="538">
        <f>D46+E46</f>
        <v>1</v>
      </c>
      <c r="D46" s="538">
        <v>0</v>
      </c>
      <c r="E46" s="538">
        <v>1</v>
      </c>
      <c r="F46" s="538"/>
      <c r="G46" s="538"/>
      <c r="H46" s="538">
        <f>I46+Q46</f>
        <v>1</v>
      </c>
      <c r="I46" s="538">
        <f>SUM(J46:P46)</f>
        <v>1</v>
      </c>
      <c r="J46" s="538">
        <v>1</v>
      </c>
      <c r="K46" s="538"/>
      <c r="L46" s="546"/>
      <c r="M46" s="546"/>
      <c r="N46" s="546"/>
      <c r="O46" s="539"/>
      <c r="P46" s="539"/>
      <c r="Q46" s="539"/>
      <c r="R46" s="539">
        <f t="shared" si="3"/>
        <v>0</v>
      </c>
      <c r="S46" s="534">
        <f t="shared" si="1"/>
        <v>100</v>
      </c>
      <c r="T46" s="530">
        <f t="shared" si="7"/>
        <v>0</v>
      </c>
      <c r="U46" s="395"/>
    </row>
    <row r="47" spans="1:21" s="387" customFormat="1" ht="23.25" customHeight="1">
      <c r="A47" s="514">
        <v>5</v>
      </c>
      <c r="B47" s="399" t="s">
        <v>469</v>
      </c>
      <c r="C47" s="515">
        <f>SUM(C48:C54)</f>
        <v>2009</v>
      </c>
      <c r="D47" s="515">
        <f aca="true" t="shared" si="14" ref="D47:Q47">SUM(D48:D54)</f>
        <v>1884</v>
      </c>
      <c r="E47" s="515">
        <f t="shared" si="14"/>
        <v>125</v>
      </c>
      <c r="F47" s="515">
        <f t="shared" si="14"/>
        <v>0</v>
      </c>
      <c r="G47" s="515">
        <f t="shared" si="14"/>
        <v>0</v>
      </c>
      <c r="H47" s="515">
        <f t="shared" si="14"/>
        <v>2009</v>
      </c>
      <c r="I47" s="515">
        <f t="shared" si="14"/>
        <v>488</v>
      </c>
      <c r="J47" s="515">
        <f t="shared" si="14"/>
        <v>80</v>
      </c>
      <c r="K47" s="515">
        <f t="shared" si="14"/>
        <v>0</v>
      </c>
      <c r="L47" s="515">
        <f t="shared" si="14"/>
        <v>407</v>
      </c>
      <c r="M47" s="515">
        <f t="shared" si="14"/>
        <v>0</v>
      </c>
      <c r="N47" s="515">
        <f t="shared" si="14"/>
        <v>0</v>
      </c>
      <c r="O47" s="515">
        <f t="shared" si="14"/>
        <v>0</v>
      </c>
      <c r="P47" s="515">
        <f t="shared" si="14"/>
        <v>1</v>
      </c>
      <c r="Q47" s="515">
        <f t="shared" si="14"/>
        <v>1521</v>
      </c>
      <c r="R47" s="406">
        <f t="shared" si="3"/>
        <v>1929</v>
      </c>
      <c r="S47" s="407">
        <f t="shared" si="1"/>
        <v>16.39344262295082</v>
      </c>
      <c r="T47" s="530">
        <f t="shared" si="7"/>
        <v>0</v>
      </c>
      <c r="U47" s="395"/>
    </row>
    <row r="48" spans="1:21" s="387" customFormat="1" ht="23.25" customHeight="1">
      <c r="A48" s="548" t="s">
        <v>112</v>
      </c>
      <c r="B48" s="549" t="s">
        <v>470</v>
      </c>
      <c r="C48" s="550">
        <v>98</v>
      </c>
      <c r="D48" s="550">
        <v>94</v>
      </c>
      <c r="E48" s="550">
        <v>4</v>
      </c>
      <c r="F48" s="550">
        <v>0</v>
      </c>
      <c r="G48" s="550">
        <v>0</v>
      </c>
      <c r="H48" s="550">
        <v>98</v>
      </c>
      <c r="I48" s="550">
        <v>14</v>
      </c>
      <c r="J48" s="550">
        <v>4</v>
      </c>
      <c r="K48" s="550">
        <v>0</v>
      </c>
      <c r="L48" s="551">
        <v>10</v>
      </c>
      <c r="M48" s="550">
        <v>0</v>
      </c>
      <c r="N48" s="550">
        <v>0</v>
      </c>
      <c r="O48" s="550">
        <v>0</v>
      </c>
      <c r="P48" s="550">
        <v>0</v>
      </c>
      <c r="Q48" s="552">
        <v>84</v>
      </c>
      <c r="R48" s="539">
        <f t="shared" si="3"/>
        <v>94</v>
      </c>
      <c r="S48" s="547">
        <f t="shared" si="1"/>
        <v>28.57142857142857</v>
      </c>
      <c r="T48" s="530">
        <f t="shared" si="7"/>
        <v>0</v>
      </c>
      <c r="U48" s="395"/>
    </row>
    <row r="49" spans="1:21" s="387" customFormat="1" ht="23.25" customHeight="1">
      <c r="A49" s="548" t="s">
        <v>113</v>
      </c>
      <c r="B49" s="549" t="s">
        <v>471</v>
      </c>
      <c r="C49" s="550">
        <v>253</v>
      </c>
      <c r="D49" s="550">
        <v>222</v>
      </c>
      <c r="E49" s="550">
        <v>31</v>
      </c>
      <c r="F49" s="550">
        <v>0</v>
      </c>
      <c r="G49" s="550">
        <v>0</v>
      </c>
      <c r="H49" s="550">
        <v>253</v>
      </c>
      <c r="I49" s="550">
        <v>98</v>
      </c>
      <c r="J49" s="550">
        <v>15</v>
      </c>
      <c r="K49" s="550">
        <v>0</v>
      </c>
      <c r="L49" s="551">
        <v>82</v>
      </c>
      <c r="M49" s="550">
        <v>0</v>
      </c>
      <c r="N49" s="550">
        <v>0</v>
      </c>
      <c r="O49" s="550">
        <v>0</v>
      </c>
      <c r="P49" s="550">
        <v>1</v>
      </c>
      <c r="Q49" s="552">
        <v>155</v>
      </c>
      <c r="R49" s="539">
        <f t="shared" si="3"/>
        <v>238</v>
      </c>
      <c r="S49" s="547">
        <f t="shared" si="1"/>
        <v>15.306122448979592</v>
      </c>
      <c r="T49" s="530">
        <f t="shared" si="7"/>
        <v>0</v>
      </c>
      <c r="U49" s="395"/>
    </row>
    <row r="50" spans="1:21" s="387" customFormat="1" ht="23.25" customHeight="1">
      <c r="A50" s="548" t="s">
        <v>114</v>
      </c>
      <c r="B50" s="549" t="s">
        <v>549</v>
      </c>
      <c r="C50" s="550">
        <v>281</v>
      </c>
      <c r="D50" s="550">
        <v>263</v>
      </c>
      <c r="E50" s="550">
        <v>18</v>
      </c>
      <c r="F50" s="550">
        <v>0</v>
      </c>
      <c r="G50" s="550">
        <v>0</v>
      </c>
      <c r="H50" s="550">
        <v>281</v>
      </c>
      <c r="I50" s="550">
        <v>80</v>
      </c>
      <c r="J50" s="550">
        <v>13</v>
      </c>
      <c r="K50" s="550">
        <v>0</v>
      </c>
      <c r="L50" s="551">
        <v>67</v>
      </c>
      <c r="M50" s="550">
        <v>0</v>
      </c>
      <c r="N50" s="550">
        <v>0</v>
      </c>
      <c r="O50" s="550">
        <v>0</v>
      </c>
      <c r="P50" s="550">
        <v>0</v>
      </c>
      <c r="Q50" s="552">
        <v>201</v>
      </c>
      <c r="R50" s="539">
        <f t="shared" si="3"/>
        <v>268</v>
      </c>
      <c r="S50" s="547">
        <f t="shared" si="1"/>
        <v>16.25</v>
      </c>
      <c r="T50" s="530">
        <f t="shared" si="7"/>
        <v>0</v>
      </c>
      <c r="U50" s="395"/>
    </row>
    <row r="51" spans="1:21" s="387" customFormat="1" ht="23.25" customHeight="1">
      <c r="A51" s="548" t="s">
        <v>473</v>
      </c>
      <c r="B51" s="549" t="s">
        <v>474</v>
      </c>
      <c r="C51" s="550">
        <v>198</v>
      </c>
      <c r="D51" s="550">
        <v>177</v>
      </c>
      <c r="E51" s="550">
        <v>21</v>
      </c>
      <c r="F51" s="550">
        <v>0</v>
      </c>
      <c r="G51" s="550">
        <v>0</v>
      </c>
      <c r="H51" s="550">
        <v>198</v>
      </c>
      <c r="I51" s="550">
        <v>70</v>
      </c>
      <c r="J51" s="550">
        <v>10</v>
      </c>
      <c r="K51" s="550">
        <v>0</v>
      </c>
      <c r="L51" s="551">
        <v>60</v>
      </c>
      <c r="M51" s="550">
        <v>0</v>
      </c>
      <c r="N51" s="550">
        <v>0</v>
      </c>
      <c r="O51" s="550">
        <v>0</v>
      </c>
      <c r="P51" s="550">
        <v>0</v>
      </c>
      <c r="Q51" s="552">
        <v>128</v>
      </c>
      <c r="R51" s="539">
        <f t="shared" si="3"/>
        <v>188</v>
      </c>
      <c r="S51" s="547">
        <f t="shared" si="1"/>
        <v>14.285714285714285</v>
      </c>
      <c r="T51" s="530">
        <f t="shared" si="7"/>
        <v>0</v>
      </c>
      <c r="U51" s="395"/>
    </row>
    <row r="52" spans="1:21" s="387" customFormat="1" ht="23.25" customHeight="1">
      <c r="A52" s="548" t="s">
        <v>475</v>
      </c>
      <c r="B52" s="549" t="s">
        <v>476</v>
      </c>
      <c r="C52" s="550">
        <v>392</v>
      </c>
      <c r="D52" s="550">
        <v>381</v>
      </c>
      <c r="E52" s="550">
        <v>11</v>
      </c>
      <c r="F52" s="550">
        <v>0</v>
      </c>
      <c r="G52" s="550">
        <v>0</v>
      </c>
      <c r="H52" s="550">
        <v>392</v>
      </c>
      <c r="I52" s="550">
        <v>68</v>
      </c>
      <c r="J52" s="550">
        <v>6</v>
      </c>
      <c r="K52" s="550">
        <v>0</v>
      </c>
      <c r="L52" s="551">
        <v>62</v>
      </c>
      <c r="M52" s="550">
        <v>0</v>
      </c>
      <c r="N52" s="550">
        <v>0</v>
      </c>
      <c r="O52" s="550">
        <v>0</v>
      </c>
      <c r="P52" s="550">
        <v>0</v>
      </c>
      <c r="Q52" s="552">
        <v>324</v>
      </c>
      <c r="R52" s="539">
        <f t="shared" si="3"/>
        <v>386</v>
      </c>
      <c r="S52" s="547">
        <f t="shared" si="1"/>
        <v>8.823529411764707</v>
      </c>
      <c r="T52" s="530">
        <f t="shared" si="7"/>
        <v>0</v>
      </c>
      <c r="U52" s="395"/>
    </row>
    <row r="53" spans="1:21" s="387" customFormat="1" ht="23.25" customHeight="1">
      <c r="A53" s="548" t="s">
        <v>477</v>
      </c>
      <c r="B53" s="549" t="s">
        <v>478</v>
      </c>
      <c r="C53" s="550">
        <v>417</v>
      </c>
      <c r="D53" s="550">
        <v>399</v>
      </c>
      <c r="E53" s="550">
        <v>18</v>
      </c>
      <c r="F53" s="550">
        <v>0</v>
      </c>
      <c r="G53" s="550">
        <v>0</v>
      </c>
      <c r="H53" s="550">
        <v>417</v>
      </c>
      <c r="I53" s="550">
        <v>91</v>
      </c>
      <c r="J53" s="550">
        <v>17</v>
      </c>
      <c r="K53" s="550">
        <v>0</v>
      </c>
      <c r="L53" s="551">
        <v>74</v>
      </c>
      <c r="M53" s="550">
        <v>0</v>
      </c>
      <c r="N53" s="550">
        <v>0</v>
      </c>
      <c r="O53" s="550">
        <v>0</v>
      </c>
      <c r="P53" s="550">
        <v>0</v>
      </c>
      <c r="Q53" s="552">
        <v>326</v>
      </c>
      <c r="R53" s="539">
        <f t="shared" si="3"/>
        <v>400</v>
      </c>
      <c r="S53" s="547">
        <f t="shared" si="1"/>
        <v>18.681318681318682</v>
      </c>
      <c r="T53" s="530">
        <f t="shared" si="7"/>
        <v>0</v>
      </c>
      <c r="U53" s="395"/>
    </row>
    <row r="54" spans="1:21" s="387" customFormat="1" ht="23.25" customHeight="1">
      <c r="A54" s="548" t="s">
        <v>479</v>
      </c>
      <c r="B54" s="549" t="s">
        <v>480</v>
      </c>
      <c r="C54" s="550">
        <v>370</v>
      </c>
      <c r="D54" s="550">
        <v>348</v>
      </c>
      <c r="E54" s="550">
        <v>22</v>
      </c>
      <c r="F54" s="550">
        <v>0</v>
      </c>
      <c r="G54" s="550">
        <v>0</v>
      </c>
      <c r="H54" s="550">
        <v>370</v>
      </c>
      <c r="I54" s="550">
        <v>67</v>
      </c>
      <c r="J54" s="550">
        <v>15</v>
      </c>
      <c r="K54" s="550">
        <v>0</v>
      </c>
      <c r="L54" s="551">
        <v>52</v>
      </c>
      <c r="M54" s="550">
        <v>0</v>
      </c>
      <c r="N54" s="550">
        <v>0</v>
      </c>
      <c r="O54" s="550">
        <v>0</v>
      </c>
      <c r="P54" s="550">
        <v>0</v>
      </c>
      <c r="Q54" s="552">
        <v>303</v>
      </c>
      <c r="R54" s="539">
        <f t="shared" si="3"/>
        <v>355</v>
      </c>
      <c r="S54" s="547">
        <f t="shared" si="1"/>
        <v>22.388059701492537</v>
      </c>
      <c r="T54" s="530">
        <f t="shared" si="7"/>
        <v>0</v>
      </c>
      <c r="U54" s="395"/>
    </row>
    <row r="55" spans="1:21" s="387" customFormat="1" ht="23.25" customHeight="1">
      <c r="A55" s="514">
        <v>6</v>
      </c>
      <c r="B55" s="399" t="s">
        <v>481</v>
      </c>
      <c r="C55" s="515">
        <f>SUM(C56:C60)</f>
        <v>411</v>
      </c>
      <c r="D55" s="515">
        <f aca="true" t="shared" si="15" ref="D55:Q55">SUM(D56:D60)</f>
        <v>357</v>
      </c>
      <c r="E55" s="515">
        <f t="shared" si="15"/>
        <v>54</v>
      </c>
      <c r="F55" s="515">
        <f t="shared" si="15"/>
        <v>3</v>
      </c>
      <c r="G55" s="515">
        <f t="shared" si="15"/>
        <v>0</v>
      </c>
      <c r="H55" s="515">
        <f t="shared" si="15"/>
        <v>408</v>
      </c>
      <c r="I55" s="515">
        <f t="shared" si="15"/>
        <v>141</v>
      </c>
      <c r="J55" s="515">
        <f t="shared" si="15"/>
        <v>30</v>
      </c>
      <c r="K55" s="515">
        <f t="shared" si="15"/>
        <v>2</v>
      </c>
      <c r="L55" s="515">
        <f t="shared" si="15"/>
        <v>106</v>
      </c>
      <c r="M55" s="515">
        <f t="shared" si="15"/>
        <v>2</v>
      </c>
      <c r="N55" s="515">
        <f t="shared" si="15"/>
        <v>0</v>
      </c>
      <c r="O55" s="515">
        <f t="shared" si="15"/>
        <v>0</v>
      </c>
      <c r="P55" s="515">
        <f t="shared" si="15"/>
        <v>1</v>
      </c>
      <c r="Q55" s="515">
        <f t="shared" si="15"/>
        <v>267</v>
      </c>
      <c r="R55" s="572">
        <f>SUM(R56:R60)</f>
        <v>376</v>
      </c>
      <c r="S55" s="408">
        <f t="shared" si="1"/>
        <v>22.69503546099291</v>
      </c>
      <c r="T55" s="530">
        <f t="shared" si="7"/>
        <v>0</v>
      </c>
      <c r="U55" s="395"/>
    </row>
    <row r="56" spans="1:21" s="387" customFormat="1" ht="23.25" customHeight="1">
      <c r="A56" s="531" t="s">
        <v>572</v>
      </c>
      <c r="B56" s="553" t="s">
        <v>578</v>
      </c>
      <c r="C56" s="554">
        <f>D56+E56</f>
        <v>51</v>
      </c>
      <c r="D56" s="554">
        <v>35</v>
      </c>
      <c r="E56" s="554">
        <v>16</v>
      </c>
      <c r="F56" s="554">
        <v>2</v>
      </c>
      <c r="G56" s="555"/>
      <c r="H56" s="554">
        <f>I56+Q56</f>
        <v>49</v>
      </c>
      <c r="I56" s="554">
        <f>SUM(J56:P56)</f>
        <v>37</v>
      </c>
      <c r="J56" s="554">
        <v>11</v>
      </c>
      <c r="K56" s="554"/>
      <c r="L56" s="554">
        <v>25</v>
      </c>
      <c r="M56" s="554">
        <v>1</v>
      </c>
      <c r="N56" s="554"/>
      <c r="O56" s="554"/>
      <c r="P56" s="554"/>
      <c r="Q56" s="554">
        <v>12</v>
      </c>
      <c r="R56" s="539">
        <f t="shared" si="3"/>
        <v>38</v>
      </c>
      <c r="S56" s="534">
        <f t="shared" si="1"/>
        <v>29.72972972972973</v>
      </c>
      <c r="T56" s="530">
        <f t="shared" si="7"/>
        <v>0</v>
      </c>
      <c r="U56" s="395"/>
    </row>
    <row r="57" spans="1:21" s="387" customFormat="1" ht="23.25" customHeight="1">
      <c r="A57" s="531" t="s">
        <v>573</v>
      </c>
      <c r="B57" s="553" t="s">
        <v>579</v>
      </c>
      <c r="C57" s="554">
        <f>D57+E57</f>
        <v>61</v>
      </c>
      <c r="D57" s="554">
        <v>58</v>
      </c>
      <c r="E57" s="554">
        <v>3</v>
      </c>
      <c r="F57" s="554"/>
      <c r="G57" s="554"/>
      <c r="H57" s="554">
        <f>I57+Q57</f>
        <v>61</v>
      </c>
      <c r="I57" s="554">
        <f>SUM(J57:P57)</f>
        <v>11</v>
      </c>
      <c r="J57" s="554">
        <v>2</v>
      </c>
      <c r="K57" s="554"/>
      <c r="L57" s="554">
        <v>9</v>
      </c>
      <c r="M57" s="554"/>
      <c r="N57" s="554"/>
      <c r="O57" s="554"/>
      <c r="P57" s="554"/>
      <c r="Q57" s="554">
        <v>50</v>
      </c>
      <c r="R57" s="539">
        <f t="shared" si="3"/>
        <v>59</v>
      </c>
      <c r="S57" s="534">
        <f t="shared" si="1"/>
        <v>18.181818181818183</v>
      </c>
      <c r="T57" s="530">
        <f t="shared" si="7"/>
        <v>0</v>
      </c>
      <c r="U57" s="395"/>
    </row>
    <row r="58" spans="1:21" s="387" customFormat="1" ht="23.25" customHeight="1">
      <c r="A58" s="531" t="s">
        <v>574</v>
      </c>
      <c r="B58" s="553" t="s">
        <v>484</v>
      </c>
      <c r="C58" s="554">
        <f>D58+E58</f>
        <v>124</v>
      </c>
      <c r="D58" s="554">
        <v>110</v>
      </c>
      <c r="E58" s="554">
        <v>14</v>
      </c>
      <c r="F58" s="554">
        <v>1</v>
      </c>
      <c r="G58" s="554"/>
      <c r="H58" s="554">
        <f>I58+Q58</f>
        <v>123</v>
      </c>
      <c r="I58" s="554">
        <f>SUM(J58:P58)</f>
        <v>45</v>
      </c>
      <c r="J58" s="554">
        <v>10</v>
      </c>
      <c r="K58" s="554"/>
      <c r="L58" s="554">
        <v>33</v>
      </c>
      <c r="M58" s="554">
        <v>1</v>
      </c>
      <c r="N58" s="554"/>
      <c r="O58" s="554"/>
      <c r="P58" s="554">
        <v>1</v>
      </c>
      <c r="Q58" s="554">
        <v>78</v>
      </c>
      <c r="R58" s="539">
        <f t="shared" si="3"/>
        <v>113</v>
      </c>
      <c r="S58" s="534">
        <f t="shared" si="1"/>
        <v>22.22222222222222</v>
      </c>
      <c r="T58" s="530">
        <f t="shared" si="7"/>
        <v>0</v>
      </c>
      <c r="U58" s="395"/>
    </row>
    <row r="59" spans="1:21" s="387" customFormat="1" ht="23.25" customHeight="1">
      <c r="A59" s="531" t="s">
        <v>575</v>
      </c>
      <c r="B59" s="553" t="s">
        <v>580</v>
      </c>
      <c r="C59" s="554">
        <f>D59+E59</f>
        <v>92</v>
      </c>
      <c r="D59" s="554">
        <v>80</v>
      </c>
      <c r="E59" s="554">
        <v>12</v>
      </c>
      <c r="F59" s="554"/>
      <c r="G59" s="554"/>
      <c r="H59" s="554">
        <f>I59+Q59</f>
        <v>92</v>
      </c>
      <c r="I59" s="554">
        <f>SUM(J59:P59)</f>
        <v>30</v>
      </c>
      <c r="J59" s="554">
        <v>4</v>
      </c>
      <c r="K59" s="554">
        <v>2</v>
      </c>
      <c r="L59" s="554">
        <v>24</v>
      </c>
      <c r="M59" s="554"/>
      <c r="N59" s="554"/>
      <c r="O59" s="554"/>
      <c r="P59" s="554"/>
      <c r="Q59" s="554">
        <v>62</v>
      </c>
      <c r="R59" s="539">
        <f t="shared" si="3"/>
        <v>86</v>
      </c>
      <c r="S59" s="534">
        <f t="shared" si="1"/>
        <v>20</v>
      </c>
      <c r="T59" s="530">
        <f t="shared" si="7"/>
        <v>0</v>
      </c>
      <c r="U59" s="395"/>
    </row>
    <row r="60" spans="1:21" s="387" customFormat="1" ht="23.25" customHeight="1">
      <c r="A60" s="531" t="s">
        <v>576</v>
      </c>
      <c r="B60" s="553" t="s">
        <v>550</v>
      </c>
      <c r="C60" s="554">
        <f>D60+E60</f>
        <v>83</v>
      </c>
      <c r="D60" s="554">
        <v>74</v>
      </c>
      <c r="E60" s="554">
        <v>9</v>
      </c>
      <c r="F60" s="554"/>
      <c r="G60" s="554"/>
      <c r="H60" s="554">
        <f>I60+Q60</f>
        <v>83</v>
      </c>
      <c r="I60" s="554">
        <f>SUM(J60:P60)</f>
        <v>18</v>
      </c>
      <c r="J60" s="554">
        <v>3</v>
      </c>
      <c r="K60" s="554"/>
      <c r="L60" s="554">
        <v>15</v>
      </c>
      <c r="M60" s="554"/>
      <c r="N60" s="554"/>
      <c r="O60" s="554"/>
      <c r="P60" s="554"/>
      <c r="Q60" s="554">
        <v>65</v>
      </c>
      <c r="R60" s="539">
        <f t="shared" si="3"/>
        <v>80</v>
      </c>
      <c r="S60" s="534">
        <f t="shared" si="1"/>
        <v>16.666666666666664</v>
      </c>
      <c r="T60" s="530">
        <f t="shared" si="7"/>
        <v>0</v>
      </c>
      <c r="U60" s="395"/>
    </row>
    <row r="61" spans="1:21" s="387" customFormat="1" ht="23.25" customHeight="1">
      <c r="A61" s="514">
        <v>7</v>
      </c>
      <c r="B61" s="513" t="s">
        <v>486</v>
      </c>
      <c r="C61" s="515">
        <f>SUM(C62:C67)</f>
        <v>694</v>
      </c>
      <c r="D61" s="515">
        <f aca="true" t="shared" si="16" ref="D61:Q61">SUM(D62:D67)</f>
        <v>604</v>
      </c>
      <c r="E61" s="515">
        <f t="shared" si="16"/>
        <v>90</v>
      </c>
      <c r="F61" s="515">
        <f t="shared" si="16"/>
        <v>0</v>
      </c>
      <c r="G61" s="515">
        <f t="shared" si="16"/>
        <v>0</v>
      </c>
      <c r="H61" s="515">
        <f t="shared" si="16"/>
        <v>694</v>
      </c>
      <c r="I61" s="515">
        <f t="shared" si="16"/>
        <v>270</v>
      </c>
      <c r="J61" s="515">
        <f t="shared" si="16"/>
        <v>52</v>
      </c>
      <c r="K61" s="515">
        <f t="shared" si="16"/>
        <v>1</v>
      </c>
      <c r="L61" s="515">
        <f t="shared" si="16"/>
        <v>217</v>
      </c>
      <c r="M61" s="515">
        <f t="shared" si="16"/>
        <v>0</v>
      </c>
      <c r="N61" s="515">
        <f t="shared" si="16"/>
        <v>0</v>
      </c>
      <c r="O61" s="515">
        <f t="shared" si="16"/>
        <v>0</v>
      </c>
      <c r="P61" s="515">
        <f t="shared" si="16"/>
        <v>0</v>
      </c>
      <c r="Q61" s="515">
        <f t="shared" si="16"/>
        <v>424</v>
      </c>
      <c r="R61" s="406">
        <f t="shared" si="3"/>
        <v>641</v>
      </c>
      <c r="S61" s="408">
        <f t="shared" si="1"/>
        <v>19.62962962962963</v>
      </c>
      <c r="T61" s="530">
        <f t="shared" si="7"/>
        <v>0</v>
      </c>
      <c r="U61" s="395"/>
    </row>
    <row r="62" spans="1:21" s="387" customFormat="1" ht="23.25" customHeight="1">
      <c r="A62" s="548" t="s">
        <v>566</v>
      </c>
      <c r="B62" s="556" t="s">
        <v>487</v>
      </c>
      <c r="C62" s="557">
        <v>66</v>
      </c>
      <c r="D62" s="557">
        <v>54</v>
      </c>
      <c r="E62" s="557">
        <v>12</v>
      </c>
      <c r="F62" s="557">
        <v>0</v>
      </c>
      <c r="G62" s="557"/>
      <c r="H62" s="557">
        <v>66</v>
      </c>
      <c r="I62" s="557">
        <v>33</v>
      </c>
      <c r="J62" s="557">
        <v>8</v>
      </c>
      <c r="K62" s="557">
        <v>0</v>
      </c>
      <c r="L62" s="557">
        <v>25</v>
      </c>
      <c r="M62" s="557"/>
      <c r="N62" s="557"/>
      <c r="O62" s="557"/>
      <c r="P62" s="544"/>
      <c r="Q62" s="558">
        <v>33</v>
      </c>
      <c r="R62" s="539">
        <f t="shared" si="3"/>
        <v>58</v>
      </c>
      <c r="S62" s="534">
        <f t="shared" si="1"/>
        <v>24.242424242424242</v>
      </c>
      <c r="T62" s="530">
        <f t="shared" si="7"/>
        <v>0</v>
      </c>
      <c r="U62" s="395"/>
    </row>
    <row r="63" spans="1:21" s="387" customFormat="1" ht="23.25" customHeight="1">
      <c r="A63" s="548" t="s">
        <v>567</v>
      </c>
      <c r="B63" s="556" t="s">
        <v>488</v>
      </c>
      <c r="C63" s="557">
        <v>124</v>
      </c>
      <c r="D63" s="559">
        <v>107</v>
      </c>
      <c r="E63" s="559">
        <v>17</v>
      </c>
      <c r="F63" s="559">
        <v>0</v>
      </c>
      <c r="G63" s="559">
        <v>0</v>
      </c>
      <c r="H63" s="557">
        <v>124</v>
      </c>
      <c r="I63" s="557">
        <v>46</v>
      </c>
      <c r="J63" s="559">
        <v>13</v>
      </c>
      <c r="K63" s="559">
        <v>0</v>
      </c>
      <c r="L63" s="559">
        <v>33</v>
      </c>
      <c r="M63" s="559">
        <v>0</v>
      </c>
      <c r="N63" s="559">
        <v>0</v>
      </c>
      <c r="O63" s="559">
        <v>0</v>
      </c>
      <c r="P63" s="560">
        <v>0</v>
      </c>
      <c r="Q63" s="561">
        <v>78</v>
      </c>
      <c r="R63" s="539">
        <f t="shared" si="3"/>
        <v>111</v>
      </c>
      <c r="S63" s="534">
        <f t="shared" si="1"/>
        <v>28.26086956521739</v>
      </c>
      <c r="T63" s="530">
        <f t="shared" si="7"/>
        <v>0</v>
      </c>
      <c r="U63" s="395"/>
    </row>
    <row r="64" spans="1:21" s="387" customFormat="1" ht="23.25" customHeight="1">
      <c r="A64" s="548" t="s">
        <v>568</v>
      </c>
      <c r="B64" s="556" t="s">
        <v>551</v>
      </c>
      <c r="C64" s="557">
        <v>140</v>
      </c>
      <c r="D64" s="557">
        <v>125</v>
      </c>
      <c r="E64" s="557">
        <v>15</v>
      </c>
      <c r="F64" s="557">
        <v>0</v>
      </c>
      <c r="G64" s="557"/>
      <c r="H64" s="557">
        <v>140</v>
      </c>
      <c r="I64" s="557">
        <v>48</v>
      </c>
      <c r="J64" s="557">
        <v>6</v>
      </c>
      <c r="K64" s="557">
        <v>0</v>
      </c>
      <c r="L64" s="557">
        <v>42</v>
      </c>
      <c r="M64" s="557"/>
      <c r="N64" s="557"/>
      <c r="O64" s="557"/>
      <c r="P64" s="544">
        <v>0</v>
      </c>
      <c r="Q64" s="558">
        <v>92</v>
      </c>
      <c r="R64" s="539">
        <f t="shared" si="3"/>
        <v>134</v>
      </c>
      <c r="S64" s="534">
        <f t="shared" si="1"/>
        <v>12.5</v>
      </c>
      <c r="T64" s="530">
        <f t="shared" si="7"/>
        <v>0</v>
      </c>
      <c r="U64" s="395"/>
    </row>
    <row r="65" spans="1:21" s="387" customFormat="1" ht="23.25" customHeight="1">
      <c r="A65" s="548" t="s">
        <v>569</v>
      </c>
      <c r="B65" s="556" t="s">
        <v>490</v>
      </c>
      <c r="C65" s="557">
        <v>125</v>
      </c>
      <c r="D65" s="557">
        <v>110</v>
      </c>
      <c r="E65" s="557">
        <v>15</v>
      </c>
      <c r="F65" s="557">
        <v>0</v>
      </c>
      <c r="G65" s="557">
        <v>0</v>
      </c>
      <c r="H65" s="557">
        <v>125</v>
      </c>
      <c r="I65" s="557">
        <v>51</v>
      </c>
      <c r="J65" s="557">
        <v>8</v>
      </c>
      <c r="K65" s="557">
        <v>1</v>
      </c>
      <c r="L65" s="557">
        <v>42</v>
      </c>
      <c r="M65" s="557"/>
      <c r="N65" s="557"/>
      <c r="O65" s="557"/>
      <c r="P65" s="544">
        <v>0</v>
      </c>
      <c r="Q65" s="558">
        <v>74</v>
      </c>
      <c r="R65" s="539">
        <f t="shared" si="3"/>
        <v>116</v>
      </c>
      <c r="S65" s="534">
        <f t="shared" si="1"/>
        <v>17.647058823529413</v>
      </c>
      <c r="T65" s="530">
        <f t="shared" si="7"/>
        <v>0</v>
      </c>
      <c r="U65" s="395"/>
    </row>
    <row r="66" spans="1:21" s="387" customFormat="1" ht="23.25" customHeight="1">
      <c r="A66" s="548" t="s">
        <v>570</v>
      </c>
      <c r="B66" s="556" t="s">
        <v>491</v>
      </c>
      <c r="C66" s="557">
        <v>130</v>
      </c>
      <c r="D66" s="557">
        <v>113</v>
      </c>
      <c r="E66" s="557">
        <v>17</v>
      </c>
      <c r="F66" s="557">
        <v>0</v>
      </c>
      <c r="G66" s="557"/>
      <c r="H66" s="557">
        <v>130</v>
      </c>
      <c r="I66" s="557">
        <v>53</v>
      </c>
      <c r="J66" s="557">
        <v>9</v>
      </c>
      <c r="K66" s="557">
        <v>0</v>
      </c>
      <c r="L66" s="557">
        <v>44</v>
      </c>
      <c r="M66" s="557"/>
      <c r="N66" s="557"/>
      <c r="O66" s="557"/>
      <c r="P66" s="544">
        <v>0</v>
      </c>
      <c r="Q66" s="558">
        <v>77</v>
      </c>
      <c r="R66" s="539">
        <f t="shared" si="3"/>
        <v>121</v>
      </c>
      <c r="S66" s="534">
        <f t="shared" si="1"/>
        <v>16.9811320754717</v>
      </c>
      <c r="T66" s="530">
        <f t="shared" si="7"/>
        <v>0</v>
      </c>
      <c r="U66" s="395"/>
    </row>
    <row r="67" spans="1:21" s="387" customFormat="1" ht="23.25" customHeight="1">
      <c r="A67" s="548" t="s">
        <v>571</v>
      </c>
      <c r="B67" s="556" t="s">
        <v>492</v>
      </c>
      <c r="C67" s="557">
        <v>109</v>
      </c>
      <c r="D67" s="557">
        <v>95</v>
      </c>
      <c r="E67" s="557">
        <v>14</v>
      </c>
      <c r="F67" s="557">
        <v>0</v>
      </c>
      <c r="G67" s="557">
        <v>0</v>
      </c>
      <c r="H67" s="557">
        <v>109</v>
      </c>
      <c r="I67" s="557">
        <v>39</v>
      </c>
      <c r="J67" s="557">
        <v>8</v>
      </c>
      <c r="K67" s="557">
        <v>0</v>
      </c>
      <c r="L67" s="557">
        <v>31</v>
      </c>
      <c r="M67" s="557"/>
      <c r="N67" s="557"/>
      <c r="O67" s="557"/>
      <c r="P67" s="544">
        <v>0</v>
      </c>
      <c r="Q67" s="558">
        <v>70</v>
      </c>
      <c r="R67" s="539">
        <f t="shared" si="3"/>
        <v>101</v>
      </c>
      <c r="S67" s="534">
        <f t="shared" si="1"/>
        <v>20.51282051282051</v>
      </c>
      <c r="T67" s="530">
        <f t="shared" si="7"/>
        <v>0</v>
      </c>
      <c r="U67" s="395"/>
    </row>
    <row r="68" spans="1:21" s="387" customFormat="1" ht="23.25" customHeight="1">
      <c r="A68" s="514">
        <v>8</v>
      </c>
      <c r="B68" s="399" t="s">
        <v>493</v>
      </c>
      <c r="C68" s="515">
        <f>SUM(C69:C71)</f>
        <v>323</v>
      </c>
      <c r="D68" s="515">
        <f aca="true" t="shared" si="17" ref="D68:Q68">SUM(D69:D71)</f>
        <v>253</v>
      </c>
      <c r="E68" s="515">
        <f t="shared" si="17"/>
        <v>70</v>
      </c>
      <c r="F68" s="515">
        <f t="shared" si="17"/>
        <v>0</v>
      </c>
      <c r="G68" s="515">
        <f t="shared" si="17"/>
        <v>0</v>
      </c>
      <c r="H68" s="515">
        <f t="shared" si="17"/>
        <v>323</v>
      </c>
      <c r="I68" s="515">
        <f t="shared" si="17"/>
        <v>107</v>
      </c>
      <c r="J68" s="515">
        <f t="shared" si="17"/>
        <v>35</v>
      </c>
      <c r="K68" s="515">
        <f t="shared" si="17"/>
        <v>0</v>
      </c>
      <c r="L68" s="515">
        <f t="shared" si="17"/>
        <v>70</v>
      </c>
      <c r="M68" s="515">
        <f t="shared" si="17"/>
        <v>0</v>
      </c>
      <c r="N68" s="515">
        <f t="shared" si="17"/>
        <v>2</v>
      </c>
      <c r="O68" s="515">
        <f t="shared" si="17"/>
        <v>0</v>
      </c>
      <c r="P68" s="515">
        <f t="shared" si="17"/>
        <v>0</v>
      </c>
      <c r="Q68" s="515">
        <f t="shared" si="17"/>
        <v>216</v>
      </c>
      <c r="R68" s="406">
        <f t="shared" si="3"/>
        <v>288</v>
      </c>
      <c r="S68" s="408">
        <f t="shared" si="1"/>
        <v>32.71028037383177</v>
      </c>
      <c r="T68" s="530">
        <f t="shared" si="7"/>
        <v>0</v>
      </c>
      <c r="U68" s="395"/>
    </row>
    <row r="69" spans="1:21" s="387" customFormat="1" ht="23.25" customHeight="1">
      <c r="A69" s="548" t="s">
        <v>494</v>
      </c>
      <c r="B69" s="540" t="s">
        <v>495</v>
      </c>
      <c r="C69" s="562">
        <f>D69+E69</f>
        <v>83</v>
      </c>
      <c r="D69" s="562">
        <v>56</v>
      </c>
      <c r="E69" s="562">
        <v>27</v>
      </c>
      <c r="F69" s="562">
        <v>0</v>
      </c>
      <c r="G69" s="562">
        <v>0</v>
      </c>
      <c r="H69" s="562">
        <f>I69+Q69</f>
        <v>83</v>
      </c>
      <c r="I69" s="562">
        <f>J69+K69+L69+M69+N69+O69+P69</f>
        <v>37</v>
      </c>
      <c r="J69" s="562">
        <v>19</v>
      </c>
      <c r="K69" s="562">
        <v>0</v>
      </c>
      <c r="L69" s="562">
        <v>18</v>
      </c>
      <c r="M69" s="562"/>
      <c r="N69" s="562"/>
      <c r="O69" s="562"/>
      <c r="P69" s="562"/>
      <c r="Q69" s="562">
        <v>46</v>
      </c>
      <c r="R69" s="539">
        <f t="shared" si="3"/>
        <v>64</v>
      </c>
      <c r="S69" s="534">
        <f t="shared" si="1"/>
        <v>51.35135135135135</v>
      </c>
      <c r="T69" s="530">
        <f t="shared" si="7"/>
        <v>0</v>
      </c>
      <c r="U69" s="395"/>
    </row>
    <row r="70" spans="1:21" s="387" customFormat="1" ht="23.25" customHeight="1">
      <c r="A70" s="548" t="s">
        <v>496</v>
      </c>
      <c r="B70" s="540" t="s">
        <v>497</v>
      </c>
      <c r="C70" s="562">
        <f>D70+E70</f>
        <v>91</v>
      </c>
      <c r="D70" s="562">
        <v>73</v>
      </c>
      <c r="E70" s="562">
        <v>18</v>
      </c>
      <c r="F70" s="562">
        <v>0</v>
      </c>
      <c r="G70" s="562">
        <v>0</v>
      </c>
      <c r="H70" s="562">
        <f>I70+Q70</f>
        <v>91</v>
      </c>
      <c r="I70" s="562">
        <f>J70+K70+L70+M70+N70+O70+P70</f>
        <v>29</v>
      </c>
      <c r="J70" s="562">
        <v>6</v>
      </c>
      <c r="K70" s="562">
        <v>0</v>
      </c>
      <c r="L70" s="562">
        <v>21</v>
      </c>
      <c r="M70" s="562"/>
      <c r="N70" s="562">
        <v>2</v>
      </c>
      <c r="O70" s="562"/>
      <c r="P70" s="562"/>
      <c r="Q70" s="562">
        <v>62</v>
      </c>
      <c r="R70" s="539">
        <f t="shared" si="3"/>
        <v>85</v>
      </c>
      <c r="S70" s="534">
        <f t="shared" si="1"/>
        <v>20.689655172413794</v>
      </c>
      <c r="T70" s="530">
        <f t="shared" si="7"/>
        <v>0</v>
      </c>
      <c r="U70" s="395"/>
    </row>
    <row r="71" spans="1:21" s="387" customFormat="1" ht="23.25" customHeight="1">
      <c r="A71" s="548" t="s">
        <v>552</v>
      </c>
      <c r="B71" s="540" t="s">
        <v>489</v>
      </c>
      <c r="C71" s="562">
        <f>D71+E71</f>
        <v>149</v>
      </c>
      <c r="D71" s="562">
        <v>124</v>
      </c>
      <c r="E71" s="562">
        <v>25</v>
      </c>
      <c r="F71" s="562">
        <v>0</v>
      </c>
      <c r="G71" s="562"/>
      <c r="H71" s="562">
        <f>I71+Q71</f>
        <v>149</v>
      </c>
      <c r="I71" s="562">
        <f>J71+K71+L71+M71+N71+O71+P71</f>
        <v>41</v>
      </c>
      <c r="J71" s="562">
        <v>10</v>
      </c>
      <c r="K71" s="562">
        <v>0</v>
      </c>
      <c r="L71" s="562">
        <v>31</v>
      </c>
      <c r="M71" s="562"/>
      <c r="N71" s="562"/>
      <c r="O71" s="562"/>
      <c r="P71" s="562"/>
      <c r="Q71" s="562">
        <v>108</v>
      </c>
      <c r="R71" s="539">
        <f t="shared" si="3"/>
        <v>139</v>
      </c>
      <c r="S71" s="534">
        <f t="shared" si="1"/>
        <v>24.390243902439025</v>
      </c>
      <c r="T71" s="530">
        <f t="shared" si="7"/>
        <v>0</v>
      </c>
      <c r="U71" s="395"/>
    </row>
    <row r="72" spans="1:21" s="387" customFormat="1" ht="23.25" customHeight="1">
      <c r="A72" s="514">
        <v>9</v>
      </c>
      <c r="B72" s="399" t="s">
        <v>498</v>
      </c>
      <c r="C72" s="515">
        <f>SUM(C73:C75)</f>
        <v>224</v>
      </c>
      <c r="D72" s="515">
        <f aca="true" t="shared" si="18" ref="D72:Q72">SUM(D73:D75)</f>
        <v>194</v>
      </c>
      <c r="E72" s="515">
        <f t="shared" si="18"/>
        <v>30</v>
      </c>
      <c r="F72" s="515">
        <f t="shared" si="18"/>
        <v>0</v>
      </c>
      <c r="G72" s="515">
        <f t="shared" si="18"/>
        <v>0</v>
      </c>
      <c r="H72" s="515">
        <f t="shared" si="18"/>
        <v>224</v>
      </c>
      <c r="I72" s="515">
        <f t="shared" si="18"/>
        <v>96</v>
      </c>
      <c r="J72" s="515">
        <f t="shared" si="18"/>
        <v>7</v>
      </c>
      <c r="K72" s="515">
        <f t="shared" si="18"/>
        <v>6</v>
      </c>
      <c r="L72" s="515">
        <f t="shared" si="18"/>
        <v>83</v>
      </c>
      <c r="M72" s="515">
        <f t="shared" si="18"/>
        <v>0</v>
      </c>
      <c r="N72" s="515">
        <f t="shared" si="18"/>
        <v>0</v>
      </c>
      <c r="O72" s="515">
        <f t="shared" si="18"/>
        <v>0</v>
      </c>
      <c r="P72" s="515">
        <f t="shared" si="18"/>
        <v>0</v>
      </c>
      <c r="Q72" s="515">
        <f t="shared" si="18"/>
        <v>128</v>
      </c>
      <c r="R72" s="406">
        <f t="shared" si="3"/>
        <v>211</v>
      </c>
      <c r="S72" s="408">
        <f t="shared" si="1"/>
        <v>13.541666666666666</v>
      </c>
      <c r="T72" s="530">
        <f t="shared" si="7"/>
        <v>0</v>
      </c>
      <c r="U72" s="395"/>
    </row>
    <row r="73" spans="1:21" s="387" customFormat="1" ht="23.25" customHeight="1">
      <c r="A73" s="548" t="s">
        <v>499</v>
      </c>
      <c r="B73" s="543" t="s">
        <v>500</v>
      </c>
      <c r="C73" s="542">
        <f>SUM(D73:E73)</f>
        <v>57</v>
      </c>
      <c r="D73" s="542">
        <v>48</v>
      </c>
      <c r="E73" s="542">
        <f>9</f>
        <v>9</v>
      </c>
      <c r="F73" s="542">
        <v>0</v>
      </c>
      <c r="G73" s="542">
        <v>0</v>
      </c>
      <c r="H73" s="542">
        <f>SUM(I73,Q73)</f>
        <v>57</v>
      </c>
      <c r="I73" s="542">
        <f>SUM(J73:P73)</f>
        <v>16</v>
      </c>
      <c r="J73" s="542">
        <f>5</f>
        <v>5</v>
      </c>
      <c r="K73" s="542">
        <f>3</f>
        <v>3</v>
      </c>
      <c r="L73" s="542">
        <f>C73-J73-K73-M73-N73-O73-P73-Q73-F73-G73</f>
        <v>8</v>
      </c>
      <c r="M73" s="542">
        <v>0</v>
      </c>
      <c r="N73" s="542">
        <v>0</v>
      </c>
      <c r="O73" s="542">
        <v>0</v>
      </c>
      <c r="P73" s="544">
        <v>0</v>
      </c>
      <c r="Q73" s="545">
        <f>36+4+2-1</f>
        <v>41</v>
      </c>
      <c r="R73" s="539">
        <f t="shared" si="3"/>
        <v>49</v>
      </c>
      <c r="S73" s="534">
        <f t="shared" si="1"/>
        <v>50</v>
      </c>
      <c r="T73" s="530">
        <f t="shared" si="7"/>
        <v>0</v>
      </c>
      <c r="U73" s="395"/>
    </row>
    <row r="74" spans="1:21" s="387" customFormat="1" ht="23.25" customHeight="1">
      <c r="A74" s="548" t="s">
        <v>501</v>
      </c>
      <c r="B74" s="543" t="s">
        <v>502</v>
      </c>
      <c r="C74" s="542">
        <f>SUM(D74:E74)</f>
        <v>106</v>
      </c>
      <c r="D74" s="542">
        <v>97</v>
      </c>
      <c r="E74" s="542">
        <f>9</f>
        <v>9</v>
      </c>
      <c r="F74" s="542">
        <v>0</v>
      </c>
      <c r="G74" s="542">
        <v>0</v>
      </c>
      <c r="H74" s="542">
        <f>SUM(I74,Q74)</f>
        <v>106</v>
      </c>
      <c r="I74" s="542">
        <f>SUM(J74:P74)</f>
        <v>61</v>
      </c>
      <c r="J74" s="542">
        <f>0</f>
        <v>0</v>
      </c>
      <c r="K74" s="542">
        <f>1</f>
        <v>1</v>
      </c>
      <c r="L74" s="542">
        <f>C74-J74-K74-M74-N74-O74-P74-Q74-F74-G74</f>
        <v>60</v>
      </c>
      <c r="M74" s="542">
        <v>0</v>
      </c>
      <c r="N74" s="542">
        <v>0</v>
      </c>
      <c r="O74" s="542">
        <v>0</v>
      </c>
      <c r="P74" s="544">
        <v>0</v>
      </c>
      <c r="Q74" s="545">
        <f>47-8-4+6+4</f>
        <v>45</v>
      </c>
      <c r="R74" s="539">
        <f t="shared" si="3"/>
        <v>105</v>
      </c>
      <c r="S74" s="534">
        <f t="shared" si="1"/>
        <v>1.639344262295082</v>
      </c>
      <c r="T74" s="530">
        <f t="shared" si="7"/>
        <v>0</v>
      </c>
      <c r="U74" s="395"/>
    </row>
    <row r="75" spans="1:21" s="387" customFormat="1" ht="23.25" customHeight="1">
      <c r="A75" s="548" t="s">
        <v>503</v>
      </c>
      <c r="B75" s="543" t="s">
        <v>504</v>
      </c>
      <c r="C75" s="542">
        <f>SUM(D75:E75)</f>
        <v>61</v>
      </c>
      <c r="D75" s="542">
        <v>49</v>
      </c>
      <c r="E75" s="542">
        <f>12</f>
        <v>12</v>
      </c>
      <c r="F75" s="542">
        <v>0</v>
      </c>
      <c r="G75" s="542">
        <v>0</v>
      </c>
      <c r="H75" s="542">
        <f>SUM(I75,Q75)</f>
        <v>61</v>
      </c>
      <c r="I75" s="542">
        <f>SUM(J75:P75)</f>
        <v>19</v>
      </c>
      <c r="J75" s="542">
        <f>2</f>
        <v>2</v>
      </c>
      <c r="K75" s="542">
        <f>2</f>
        <v>2</v>
      </c>
      <c r="L75" s="542">
        <f>C75-J75-K75-M75-N75-O75-P75-Q75-F75-G75</f>
        <v>15</v>
      </c>
      <c r="M75" s="542">
        <v>0</v>
      </c>
      <c r="N75" s="542">
        <v>0</v>
      </c>
      <c r="O75" s="542">
        <v>0</v>
      </c>
      <c r="P75" s="544">
        <f>0</f>
        <v>0</v>
      </c>
      <c r="Q75" s="545">
        <f>32+1+5+4</f>
        <v>42</v>
      </c>
      <c r="R75" s="539">
        <f t="shared" si="3"/>
        <v>57</v>
      </c>
      <c r="S75" s="534">
        <f t="shared" si="1"/>
        <v>21.052631578947366</v>
      </c>
      <c r="T75" s="530">
        <f t="shared" si="7"/>
        <v>0</v>
      </c>
      <c r="U75" s="395"/>
    </row>
    <row r="76" spans="1:21" s="387" customFormat="1" ht="23.25" customHeight="1">
      <c r="A76" s="514">
        <v>10</v>
      </c>
      <c r="B76" s="399" t="s">
        <v>505</v>
      </c>
      <c r="C76" s="515">
        <f>SUM(C77:C85)</f>
        <v>1271</v>
      </c>
      <c r="D76" s="515">
        <f aca="true" t="shared" si="19" ref="D76:Q76">SUM(D77:D85)</f>
        <v>1170</v>
      </c>
      <c r="E76" s="515">
        <f t="shared" si="19"/>
        <v>101</v>
      </c>
      <c r="F76" s="515">
        <f t="shared" si="19"/>
        <v>0</v>
      </c>
      <c r="G76" s="515">
        <f t="shared" si="19"/>
        <v>0</v>
      </c>
      <c r="H76" s="515">
        <f t="shared" si="19"/>
        <v>1271</v>
      </c>
      <c r="I76" s="515">
        <f t="shared" si="19"/>
        <v>433</v>
      </c>
      <c r="J76" s="515">
        <f t="shared" si="19"/>
        <v>14</v>
      </c>
      <c r="K76" s="515">
        <f t="shared" si="19"/>
        <v>5</v>
      </c>
      <c r="L76" s="515">
        <f t="shared" si="19"/>
        <v>409</v>
      </c>
      <c r="M76" s="515">
        <f t="shared" si="19"/>
        <v>3</v>
      </c>
      <c r="N76" s="515">
        <f t="shared" si="19"/>
        <v>0</v>
      </c>
      <c r="O76" s="515">
        <f t="shared" si="19"/>
        <v>0</v>
      </c>
      <c r="P76" s="515">
        <f t="shared" si="19"/>
        <v>2</v>
      </c>
      <c r="Q76" s="515">
        <f t="shared" si="19"/>
        <v>838</v>
      </c>
      <c r="R76" s="406">
        <f t="shared" si="3"/>
        <v>1252</v>
      </c>
      <c r="S76" s="408">
        <f t="shared" si="1"/>
        <v>4.387990762124711</v>
      </c>
      <c r="T76" s="530">
        <f aca="true" t="shared" si="20" ref="T76:T111">H76-I76-Q76</f>
        <v>0</v>
      </c>
      <c r="U76" s="395"/>
    </row>
    <row r="77" spans="1:21" s="387" customFormat="1" ht="23.25" customHeight="1">
      <c r="A77" s="548" t="s">
        <v>532</v>
      </c>
      <c r="B77" s="563" t="s">
        <v>472</v>
      </c>
      <c r="C77" s="557">
        <v>31</v>
      </c>
      <c r="D77" s="557">
        <v>26</v>
      </c>
      <c r="E77" s="557">
        <v>5</v>
      </c>
      <c r="F77" s="557">
        <v>0</v>
      </c>
      <c r="G77" s="557">
        <v>0</v>
      </c>
      <c r="H77" s="557">
        <v>31</v>
      </c>
      <c r="I77" s="557">
        <v>8</v>
      </c>
      <c r="J77" s="557">
        <v>4</v>
      </c>
      <c r="K77" s="557">
        <v>0</v>
      </c>
      <c r="L77" s="557">
        <v>4</v>
      </c>
      <c r="M77" s="557">
        <v>0</v>
      </c>
      <c r="N77" s="557">
        <v>0</v>
      </c>
      <c r="O77" s="557">
        <v>0</v>
      </c>
      <c r="P77" s="557">
        <v>0</v>
      </c>
      <c r="Q77" s="557">
        <v>23</v>
      </c>
      <c r="R77" s="539">
        <f aca="true" t="shared" si="21" ref="R77:R111">SUM(L77:Q77)</f>
        <v>27</v>
      </c>
      <c r="S77" s="534">
        <f aca="true" t="shared" si="22" ref="S77:S111">(J77+K77)/I77*100</f>
        <v>50</v>
      </c>
      <c r="T77" s="530">
        <f t="shared" si="20"/>
        <v>0</v>
      </c>
      <c r="U77" s="395"/>
    </row>
    <row r="78" spans="1:21" s="387" customFormat="1" ht="23.25" customHeight="1">
      <c r="A78" s="548" t="s">
        <v>581</v>
      </c>
      <c r="B78" s="563" t="s">
        <v>584</v>
      </c>
      <c r="C78" s="557">
        <v>153</v>
      </c>
      <c r="D78" s="557">
        <v>139</v>
      </c>
      <c r="E78" s="557">
        <v>14</v>
      </c>
      <c r="F78" s="557">
        <v>0</v>
      </c>
      <c r="G78" s="557">
        <v>0</v>
      </c>
      <c r="H78" s="557">
        <v>153</v>
      </c>
      <c r="I78" s="557">
        <v>47</v>
      </c>
      <c r="J78" s="557">
        <v>3</v>
      </c>
      <c r="K78" s="557">
        <v>0</v>
      </c>
      <c r="L78" s="557">
        <v>44</v>
      </c>
      <c r="M78" s="557">
        <v>0</v>
      </c>
      <c r="N78" s="557">
        <v>0</v>
      </c>
      <c r="O78" s="557">
        <v>0</v>
      </c>
      <c r="P78" s="557">
        <v>0</v>
      </c>
      <c r="Q78" s="557">
        <v>106</v>
      </c>
      <c r="R78" s="539">
        <f t="shared" si="21"/>
        <v>150</v>
      </c>
      <c r="S78" s="534">
        <f t="shared" si="22"/>
        <v>6.382978723404255</v>
      </c>
      <c r="T78" s="530">
        <f t="shared" si="20"/>
        <v>0</v>
      </c>
      <c r="U78" s="395"/>
    </row>
    <row r="79" spans="1:21" s="387" customFormat="1" ht="23.25" customHeight="1">
      <c r="A79" s="548" t="s">
        <v>533</v>
      </c>
      <c r="B79" s="563" t="s">
        <v>506</v>
      </c>
      <c r="C79" s="557">
        <v>175</v>
      </c>
      <c r="D79" s="557">
        <v>166</v>
      </c>
      <c r="E79" s="557">
        <v>9</v>
      </c>
      <c r="F79" s="557">
        <v>0</v>
      </c>
      <c r="G79" s="557">
        <v>0</v>
      </c>
      <c r="H79" s="557">
        <v>175</v>
      </c>
      <c r="I79" s="557">
        <v>56</v>
      </c>
      <c r="J79" s="557">
        <v>0</v>
      </c>
      <c r="K79" s="557">
        <v>1</v>
      </c>
      <c r="L79" s="557">
        <v>55</v>
      </c>
      <c r="M79" s="557">
        <v>0</v>
      </c>
      <c r="N79" s="557">
        <v>0</v>
      </c>
      <c r="O79" s="557">
        <v>0</v>
      </c>
      <c r="P79" s="557">
        <v>0</v>
      </c>
      <c r="Q79" s="557">
        <v>119</v>
      </c>
      <c r="R79" s="539">
        <f t="shared" si="21"/>
        <v>174</v>
      </c>
      <c r="S79" s="534">
        <f t="shared" si="22"/>
        <v>1.7857142857142856</v>
      </c>
      <c r="T79" s="530">
        <f t="shared" si="20"/>
        <v>0</v>
      </c>
      <c r="U79" s="395"/>
    </row>
    <row r="80" spans="1:21" s="387" customFormat="1" ht="23.25" customHeight="1">
      <c r="A80" s="548" t="s">
        <v>534</v>
      </c>
      <c r="B80" s="563" t="s">
        <v>554</v>
      </c>
      <c r="C80" s="557">
        <v>143</v>
      </c>
      <c r="D80" s="557">
        <v>135</v>
      </c>
      <c r="E80" s="557">
        <v>8</v>
      </c>
      <c r="F80" s="557">
        <v>0</v>
      </c>
      <c r="G80" s="557">
        <v>0</v>
      </c>
      <c r="H80" s="557">
        <v>143</v>
      </c>
      <c r="I80" s="557">
        <v>46</v>
      </c>
      <c r="J80" s="557">
        <v>1</v>
      </c>
      <c r="K80" s="557">
        <v>3</v>
      </c>
      <c r="L80" s="557">
        <v>40</v>
      </c>
      <c r="M80" s="557">
        <v>0</v>
      </c>
      <c r="N80" s="557">
        <v>0</v>
      </c>
      <c r="O80" s="557">
        <v>0</v>
      </c>
      <c r="P80" s="557">
        <v>2</v>
      </c>
      <c r="Q80" s="557">
        <v>97</v>
      </c>
      <c r="R80" s="539">
        <f t="shared" si="21"/>
        <v>139</v>
      </c>
      <c r="S80" s="534">
        <f t="shared" si="22"/>
        <v>8.695652173913043</v>
      </c>
      <c r="T80" s="530">
        <f t="shared" si="20"/>
        <v>0</v>
      </c>
      <c r="U80" s="395"/>
    </row>
    <row r="81" spans="1:21" s="387" customFormat="1" ht="23.25" customHeight="1">
      <c r="A81" s="548" t="s">
        <v>535</v>
      </c>
      <c r="B81" s="563" t="s">
        <v>507</v>
      </c>
      <c r="C81" s="557">
        <v>152</v>
      </c>
      <c r="D81" s="557">
        <v>140</v>
      </c>
      <c r="E81" s="557">
        <v>12</v>
      </c>
      <c r="F81" s="557">
        <v>0</v>
      </c>
      <c r="G81" s="557">
        <v>0</v>
      </c>
      <c r="H81" s="557">
        <v>152</v>
      </c>
      <c r="I81" s="557">
        <v>71</v>
      </c>
      <c r="J81" s="557">
        <v>0</v>
      </c>
      <c r="K81" s="557">
        <v>0</v>
      </c>
      <c r="L81" s="557">
        <v>71</v>
      </c>
      <c r="M81" s="557">
        <v>0</v>
      </c>
      <c r="N81" s="557">
        <v>0</v>
      </c>
      <c r="O81" s="557">
        <v>0</v>
      </c>
      <c r="P81" s="557">
        <v>0</v>
      </c>
      <c r="Q81" s="557">
        <v>81</v>
      </c>
      <c r="R81" s="539">
        <f t="shared" si="21"/>
        <v>152</v>
      </c>
      <c r="S81" s="534">
        <f t="shared" si="22"/>
        <v>0</v>
      </c>
      <c r="T81" s="530">
        <f t="shared" si="20"/>
        <v>0</v>
      </c>
      <c r="U81" s="395"/>
    </row>
    <row r="82" spans="1:21" s="387" customFormat="1" ht="23.25" customHeight="1">
      <c r="A82" s="548" t="s">
        <v>536</v>
      </c>
      <c r="B82" s="563" t="s">
        <v>509</v>
      </c>
      <c r="C82" s="557">
        <v>137</v>
      </c>
      <c r="D82" s="557">
        <v>121</v>
      </c>
      <c r="E82" s="557">
        <v>16</v>
      </c>
      <c r="F82" s="557">
        <v>0</v>
      </c>
      <c r="G82" s="557">
        <v>0</v>
      </c>
      <c r="H82" s="557">
        <v>137</v>
      </c>
      <c r="I82" s="557">
        <v>54</v>
      </c>
      <c r="J82" s="557">
        <v>2</v>
      </c>
      <c r="K82" s="557">
        <v>1</v>
      </c>
      <c r="L82" s="557">
        <v>51</v>
      </c>
      <c r="M82" s="557">
        <v>0</v>
      </c>
      <c r="N82" s="557">
        <v>0</v>
      </c>
      <c r="O82" s="557">
        <v>0</v>
      </c>
      <c r="P82" s="557">
        <v>0</v>
      </c>
      <c r="Q82" s="557">
        <v>83</v>
      </c>
      <c r="R82" s="539">
        <f t="shared" si="21"/>
        <v>134</v>
      </c>
      <c r="S82" s="534">
        <f t="shared" si="22"/>
        <v>5.555555555555555</v>
      </c>
      <c r="T82" s="530">
        <f t="shared" si="20"/>
        <v>0</v>
      </c>
      <c r="U82" s="395"/>
    </row>
    <row r="83" spans="1:21" s="387" customFormat="1" ht="23.25" customHeight="1">
      <c r="A83" s="548" t="s">
        <v>508</v>
      </c>
      <c r="B83" s="564" t="s">
        <v>555</v>
      </c>
      <c r="C83" s="565">
        <v>167</v>
      </c>
      <c r="D83" s="565">
        <v>158</v>
      </c>
      <c r="E83" s="565">
        <v>9</v>
      </c>
      <c r="F83" s="565">
        <v>0</v>
      </c>
      <c r="G83" s="565">
        <v>0</v>
      </c>
      <c r="H83" s="565">
        <v>167</v>
      </c>
      <c r="I83" s="565">
        <v>73</v>
      </c>
      <c r="J83" s="565">
        <v>4</v>
      </c>
      <c r="K83" s="565">
        <v>0</v>
      </c>
      <c r="L83" s="565">
        <v>66</v>
      </c>
      <c r="M83" s="565">
        <v>3</v>
      </c>
      <c r="N83" s="565">
        <v>0</v>
      </c>
      <c r="O83" s="565">
        <v>0</v>
      </c>
      <c r="P83" s="565">
        <v>0</v>
      </c>
      <c r="Q83" s="565">
        <v>94</v>
      </c>
      <c r="R83" s="539">
        <f t="shared" si="21"/>
        <v>163</v>
      </c>
      <c r="S83" s="534">
        <f t="shared" si="22"/>
        <v>5.47945205479452</v>
      </c>
      <c r="T83" s="530">
        <f t="shared" si="20"/>
        <v>0</v>
      </c>
      <c r="U83" s="395"/>
    </row>
    <row r="84" spans="1:21" s="387" customFormat="1" ht="23.25" customHeight="1">
      <c r="A84" s="548" t="s">
        <v>510</v>
      </c>
      <c r="B84" s="563" t="s">
        <v>556</v>
      </c>
      <c r="C84" s="557">
        <v>167</v>
      </c>
      <c r="D84" s="557">
        <v>151</v>
      </c>
      <c r="E84" s="557">
        <v>16</v>
      </c>
      <c r="F84" s="557">
        <v>0</v>
      </c>
      <c r="G84" s="557">
        <v>0</v>
      </c>
      <c r="H84" s="557">
        <v>167</v>
      </c>
      <c r="I84" s="557">
        <v>35</v>
      </c>
      <c r="J84" s="557">
        <v>0</v>
      </c>
      <c r="K84" s="557">
        <v>0</v>
      </c>
      <c r="L84" s="557">
        <v>35</v>
      </c>
      <c r="M84" s="557">
        <v>0</v>
      </c>
      <c r="N84" s="557">
        <v>0</v>
      </c>
      <c r="O84" s="557">
        <v>0</v>
      </c>
      <c r="P84" s="557">
        <v>0</v>
      </c>
      <c r="Q84" s="557">
        <v>132</v>
      </c>
      <c r="R84" s="539">
        <f t="shared" si="21"/>
        <v>167</v>
      </c>
      <c r="S84" s="534">
        <f t="shared" si="22"/>
        <v>0</v>
      </c>
      <c r="T84" s="530">
        <f t="shared" si="20"/>
        <v>0</v>
      </c>
      <c r="U84" s="395"/>
    </row>
    <row r="85" spans="1:21" s="387" customFormat="1" ht="23.25" customHeight="1">
      <c r="A85" s="548" t="s">
        <v>511</v>
      </c>
      <c r="B85" s="563" t="s">
        <v>512</v>
      </c>
      <c r="C85" s="557">
        <v>146</v>
      </c>
      <c r="D85" s="557">
        <v>134</v>
      </c>
      <c r="E85" s="557">
        <v>12</v>
      </c>
      <c r="F85" s="557">
        <v>0</v>
      </c>
      <c r="G85" s="557">
        <v>0</v>
      </c>
      <c r="H85" s="557">
        <v>146</v>
      </c>
      <c r="I85" s="557">
        <v>43</v>
      </c>
      <c r="J85" s="557">
        <v>0</v>
      </c>
      <c r="K85" s="557">
        <v>0</v>
      </c>
      <c r="L85" s="557">
        <v>43</v>
      </c>
      <c r="M85" s="557">
        <v>0</v>
      </c>
      <c r="N85" s="557">
        <v>0</v>
      </c>
      <c r="O85" s="557">
        <v>0</v>
      </c>
      <c r="P85" s="557">
        <v>0</v>
      </c>
      <c r="Q85" s="557">
        <v>103</v>
      </c>
      <c r="R85" s="539">
        <f t="shared" si="21"/>
        <v>146</v>
      </c>
      <c r="S85" s="534">
        <f t="shared" si="22"/>
        <v>0</v>
      </c>
      <c r="T85" s="530">
        <f t="shared" si="20"/>
        <v>0</v>
      </c>
      <c r="U85" s="395"/>
    </row>
    <row r="86" spans="1:21" s="387" customFormat="1" ht="23.25" customHeight="1">
      <c r="A86" s="514">
        <v>11</v>
      </c>
      <c r="B86" s="399" t="s">
        <v>513</v>
      </c>
      <c r="C86" s="515">
        <f>SUM(C87:C88)</f>
        <v>81</v>
      </c>
      <c r="D86" s="515">
        <f aca="true" t="shared" si="23" ref="D86:Q86">SUM(D87:D88)</f>
        <v>60</v>
      </c>
      <c r="E86" s="515">
        <f t="shared" si="23"/>
        <v>21</v>
      </c>
      <c r="F86" s="515">
        <f t="shared" si="23"/>
        <v>0</v>
      </c>
      <c r="G86" s="515">
        <f t="shared" si="23"/>
        <v>0</v>
      </c>
      <c r="H86" s="515">
        <f t="shared" si="23"/>
        <v>81</v>
      </c>
      <c r="I86" s="515">
        <f t="shared" si="23"/>
        <v>37</v>
      </c>
      <c r="J86" s="515">
        <f t="shared" si="23"/>
        <v>14</v>
      </c>
      <c r="K86" s="515">
        <f t="shared" si="23"/>
        <v>0</v>
      </c>
      <c r="L86" s="515">
        <f t="shared" si="23"/>
        <v>20</v>
      </c>
      <c r="M86" s="515">
        <f t="shared" si="23"/>
        <v>0</v>
      </c>
      <c r="N86" s="515">
        <f t="shared" si="23"/>
        <v>0</v>
      </c>
      <c r="O86" s="515">
        <f t="shared" si="23"/>
        <v>0</v>
      </c>
      <c r="P86" s="515">
        <f t="shared" si="23"/>
        <v>3</v>
      </c>
      <c r="Q86" s="515">
        <f t="shared" si="23"/>
        <v>44</v>
      </c>
      <c r="R86" s="406">
        <f t="shared" si="21"/>
        <v>67</v>
      </c>
      <c r="S86" s="408">
        <f t="shared" si="22"/>
        <v>37.83783783783784</v>
      </c>
      <c r="T86" s="530">
        <f t="shared" si="20"/>
        <v>0</v>
      </c>
      <c r="U86" s="395"/>
    </row>
    <row r="87" spans="1:21" s="387" customFormat="1" ht="23.25" customHeight="1">
      <c r="A87" s="548" t="s">
        <v>514</v>
      </c>
      <c r="B87" s="540" t="s">
        <v>515</v>
      </c>
      <c r="C87" s="566">
        <v>35</v>
      </c>
      <c r="D87" s="566">
        <v>26</v>
      </c>
      <c r="E87" s="566">
        <v>9</v>
      </c>
      <c r="F87" s="566">
        <v>0</v>
      </c>
      <c r="G87" s="566">
        <v>0</v>
      </c>
      <c r="H87" s="566">
        <v>35</v>
      </c>
      <c r="I87" s="566">
        <v>17</v>
      </c>
      <c r="J87" s="566">
        <v>5</v>
      </c>
      <c r="K87" s="566">
        <v>0</v>
      </c>
      <c r="L87" s="566">
        <v>11</v>
      </c>
      <c r="M87" s="566">
        <v>0</v>
      </c>
      <c r="N87" s="566">
        <v>0</v>
      </c>
      <c r="O87" s="566">
        <v>0</v>
      </c>
      <c r="P87" s="560">
        <v>1</v>
      </c>
      <c r="Q87" s="567">
        <v>18</v>
      </c>
      <c r="R87" s="539">
        <f t="shared" si="21"/>
        <v>30</v>
      </c>
      <c r="S87" s="534">
        <f t="shared" si="22"/>
        <v>29.411764705882355</v>
      </c>
      <c r="T87" s="530">
        <f t="shared" si="20"/>
        <v>0</v>
      </c>
      <c r="U87" s="395"/>
    </row>
    <row r="88" spans="1:21" s="387" customFormat="1" ht="23.25" customHeight="1">
      <c r="A88" s="548" t="s">
        <v>516</v>
      </c>
      <c r="B88" s="540" t="s">
        <v>517</v>
      </c>
      <c r="C88" s="566">
        <v>46</v>
      </c>
      <c r="D88" s="566">
        <v>34</v>
      </c>
      <c r="E88" s="566">
        <v>12</v>
      </c>
      <c r="F88" s="566">
        <v>0</v>
      </c>
      <c r="G88" s="566">
        <v>0</v>
      </c>
      <c r="H88" s="566">
        <v>46</v>
      </c>
      <c r="I88" s="566">
        <v>20</v>
      </c>
      <c r="J88" s="566">
        <v>9</v>
      </c>
      <c r="K88" s="566">
        <v>0</v>
      </c>
      <c r="L88" s="566">
        <v>9</v>
      </c>
      <c r="M88" s="566">
        <v>0</v>
      </c>
      <c r="N88" s="566">
        <v>0</v>
      </c>
      <c r="O88" s="566">
        <v>0</v>
      </c>
      <c r="P88" s="560">
        <v>2</v>
      </c>
      <c r="Q88" s="567">
        <v>26</v>
      </c>
      <c r="R88" s="539">
        <f t="shared" si="21"/>
        <v>37</v>
      </c>
      <c r="S88" s="534">
        <f t="shared" si="22"/>
        <v>45</v>
      </c>
      <c r="T88" s="530">
        <f t="shared" si="20"/>
        <v>0</v>
      </c>
      <c r="U88" s="395"/>
    </row>
    <row r="89" spans="1:21" s="387" customFormat="1" ht="23.25" customHeight="1">
      <c r="A89" s="514">
        <v>12</v>
      </c>
      <c r="B89" s="399" t="s">
        <v>519</v>
      </c>
      <c r="C89" s="515">
        <f>SUM(C90:C92)</f>
        <v>225</v>
      </c>
      <c r="D89" s="515">
        <f aca="true" t="shared" si="24" ref="D89:Q89">SUM(D90:D92)</f>
        <v>162</v>
      </c>
      <c r="E89" s="515">
        <f t="shared" si="24"/>
        <v>63</v>
      </c>
      <c r="F89" s="515">
        <f t="shared" si="24"/>
        <v>0</v>
      </c>
      <c r="G89" s="515">
        <f t="shared" si="24"/>
        <v>0</v>
      </c>
      <c r="H89" s="515">
        <f t="shared" si="24"/>
        <v>225</v>
      </c>
      <c r="I89" s="515">
        <f t="shared" si="24"/>
        <v>112</v>
      </c>
      <c r="J89" s="515">
        <f t="shared" si="24"/>
        <v>14</v>
      </c>
      <c r="K89" s="515">
        <f t="shared" si="24"/>
        <v>4</v>
      </c>
      <c r="L89" s="515">
        <f t="shared" si="24"/>
        <v>94</v>
      </c>
      <c r="M89" s="515">
        <f t="shared" si="24"/>
        <v>0</v>
      </c>
      <c r="N89" s="515">
        <f t="shared" si="24"/>
        <v>0</v>
      </c>
      <c r="O89" s="515">
        <f t="shared" si="24"/>
        <v>0</v>
      </c>
      <c r="P89" s="515">
        <f t="shared" si="24"/>
        <v>0</v>
      </c>
      <c r="Q89" s="515">
        <f t="shared" si="24"/>
        <v>113</v>
      </c>
      <c r="R89" s="406">
        <f t="shared" si="21"/>
        <v>207</v>
      </c>
      <c r="S89" s="408">
        <f t="shared" si="22"/>
        <v>16.071428571428573</v>
      </c>
      <c r="T89" s="530">
        <f t="shared" si="20"/>
        <v>0</v>
      </c>
      <c r="U89" s="395"/>
    </row>
    <row r="90" spans="1:21" s="387" customFormat="1" ht="23.25" customHeight="1">
      <c r="A90" s="531">
        <v>12.1</v>
      </c>
      <c r="B90" s="540" t="s">
        <v>542</v>
      </c>
      <c r="C90" s="562">
        <f>D90+E90</f>
        <v>68</v>
      </c>
      <c r="D90" s="562">
        <v>28</v>
      </c>
      <c r="E90" s="562">
        <v>40</v>
      </c>
      <c r="F90" s="562">
        <v>0</v>
      </c>
      <c r="G90" s="562">
        <v>0</v>
      </c>
      <c r="H90" s="562">
        <f>C90-F90-G90</f>
        <v>68</v>
      </c>
      <c r="I90" s="562">
        <f>H90-Q90</f>
        <v>44</v>
      </c>
      <c r="J90" s="562">
        <v>7</v>
      </c>
      <c r="K90" s="562">
        <v>0</v>
      </c>
      <c r="L90" s="562">
        <v>37</v>
      </c>
      <c r="M90" s="562"/>
      <c r="N90" s="562"/>
      <c r="O90" s="562"/>
      <c r="P90" s="562"/>
      <c r="Q90" s="562">
        <v>24</v>
      </c>
      <c r="R90" s="539">
        <f t="shared" si="21"/>
        <v>61</v>
      </c>
      <c r="S90" s="534">
        <f t="shared" si="22"/>
        <v>15.909090909090908</v>
      </c>
      <c r="T90" s="530">
        <f t="shared" si="20"/>
        <v>0</v>
      </c>
      <c r="U90" s="395"/>
    </row>
    <row r="91" spans="1:21" s="387" customFormat="1" ht="23.25" customHeight="1">
      <c r="A91" s="531">
        <v>12.2</v>
      </c>
      <c r="B91" s="540" t="s">
        <v>520</v>
      </c>
      <c r="C91" s="562">
        <f>D91+E91</f>
        <v>113</v>
      </c>
      <c r="D91" s="562">
        <v>97</v>
      </c>
      <c r="E91" s="562">
        <v>16</v>
      </c>
      <c r="F91" s="562">
        <v>0</v>
      </c>
      <c r="G91" s="562">
        <v>0</v>
      </c>
      <c r="H91" s="562">
        <f>C91-F91-G91</f>
        <v>113</v>
      </c>
      <c r="I91" s="562">
        <f>H91-Q91</f>
        <v>47</v>
      </c>
      <c r="J91" s="562">
        <v>6</v>
      </c>
      <c r="K91" s="562">
        <v>3</v>
      </c>
      <c r="L91" s="562">
        <v>38</v>
      </c>
      <c r="M91" s="562">
        <v>0</v>
      </c>
      <c r="N91" s="562"/>
      <c r="O91" s="562"/>
      <c r="P91" s="562"/>
      <c r="Q91" s="562">
        <v>66</v>
      </c>
      <c r="R91" s="539">
        <f t="shared" si="21"/>
        <v>104</v>
      </c>
      <c r="S91" s="534">
        <f t="shared" si="22"/>
        <v>19.148936170212767</v>
      </c>
      <c r="T91" s="530">
        <f t="shared" si="20"/>
        <v>0</v>
      </c>
      <c r="U91" s="395"/>
    </row>
    <row r="92" spans="1:21" s="387" customFormat="1" ht="23.25" customHeight="1">
      <c r="A92" s="531">
        <v>12.3</v>
      </c>
      <c r="B92" s="540" t="s">
        <v>466</v>
      </c>
      <c r="C92" s="562">
        <f>D92+E92</f>
        <v>44</v>
      </c>
      <c r="D92" s="562">
        <v>37</v>
      </c>
      <c r="E92" s="562">
        <v>7</v>
      </c>
      <c r="F92" s="562">
        <v>0</v>
      </c>
      <c r="G92" s="562">
        <v>0</v>
      </c>
      <c r="H92" s="562">
        <f>C92-F92-G92</f>
        <v>44</v>
      </c>
      <c r="I92" s="562">
        <f>H92-Q92</f>
        <v>21</v>
      </c>
      <c r="J92" s="562">
        <v>1</v>
      </c>
      <c r="K92" s="562">
        <v>1</v>
      </c>
      <c r="L92" s="562">
        <v>19</v>
      </c>
      <c r="M92" s="562"/>
      <c r="N92" s="562"/>
      <c r="O92" s="562"/>
      <c r="P92" s="562"/>
      <c r="Q92" s="562">
        <v>23</v>
      </c>
      <c r="R92" s="539">
        <f t="shared" si="21"/>
        <v>42</v>
      </c>
      <c r="S92" s="534">
        <f t="shared" si="22"/>
        <v>9.523809523809524</v>
      </c>
      <c r="T92" s="530">
        <f t="shared" si="20"/>
        <v>0</v>
      </c>
      <c r="U92" s="395"/>
    </row>
    <row r="93" spans="1:21" s="387" customFormat="1" ht="23.25" customHeight="1">
      <c r="A93" s="514">
        <v>13</v>
      </c>
      <c r="B93" s="399" t="s">
        <v>521</v>
      </c>
      <c r="C93" s="515">
        <f>SUM(C94:C103)</f>
        <v>2149</v>
      </c>
      <c r="D93" s="515">
        <f aca="true" t="shared" si="25" ref="D93:Q93">SUM(D94:D103)</f>
        <v>1873</v>
      </c>
      <c r="E93" s="515">
        <f t="shared" si="25"/>
        <v>276</v>
      </c>
      <c r="F93" s="515">
        <f t="shared" si="25"/>
        <v>0</v>
      </c>
      <c r="G93" s="515">
        <f t="shared" si="25"/>
        <v>0</v>
      </c>
      <c r="H93" s="515">
        <f t="shared" si="25"/>
        <v>2149</v>
      </c>
      <c r="I93" s="515">
        <f t="shared" si="25"/>
        <v>870</v>
      </c>
      <c r="J93" s="515">
        <f t="shared" si="25"/>
        <v>66</v>
      </c>
      <c r="K93" s="515">
        <f t="shared" si="25"/>
        <v>0</v>
      </c>
      <c r="L93" s="515">
        <f t="shared" si="25"/>
        <v>804</v>
      </c>
      <c r="M93" s="515">
        <f t="shared" si="25"/>
        <v>0</v>
      </c>
      <c r="N93" s="515">
        <f t="shared" si="25"/>
        <v>0</v>
      </c>
      <c r="O93" s="515">
        <f t="shared" si="25"/>
        <v>0</v>
      </c>
      <c r="P93" s="515">
        <f t="shared" si="25"/>
        <v>0</v>
      </c>
      <c r="Q93" s="515">
        <f t="shared" si="25"/>
        <v>1279</v>
      </c>
      <c r="R93" s="406">
        <f t="shared" si="21"/>
        <v>2083</v>
      </c>
      <c r="S93" s="408">
        <f t="shared" si="22"/>
        <v>7.586206896551724</v>
      </c>
      <c r="T93" s="530">
        <f t="shared" si="20"/>
        <v>0</v>
      </c>
      <c r="U93" s="395"/>
    </row>
    <row r="94" spans="1:21" s="387" customFormat="1" ht="23.25" customHeight="1">
      <c r="A94" s="531">
        <v>13.1</v>
      </c>
      <c r="B94" s="568" t="s">
        <v>592</v>
      </c>
      <c r="C94" s="542">
        <f>D94+E94</f>
        <v>238</v>
      </c>
      <c r="D94" s="542">
        <v>146</v>
      </c>
      <c r="E94" s="542">
        <v>92</v>
      </c>
      <c r="F94" s="542">
        <v>0</v>
      </c>
      <c r="G94" s="542">
        <v>0</v>
      </c>
      <c r="H94" s="542">
        <f>I94+Q94</f>
        <v>238</v>
      </c>
      <c r="I94" s="542">
        <f>J94+K94+L94+M94+N94+O94+P94</f>
        <v>143</v>
      </c>
      <c r="J94" s="542">
        <v>7</v>
      </c>
      <c r="K94" s="542">
        <v>0</v>
      </c>
      <c r="L94" s="542">
        <v>136</v>
      </c>
      <c r="M94" s="542">
        <v>0</v>
      </c>
      <c r="N94" s="542">
        <v>0</v>
      </c>
      <c r="O94" s="542">
        <v>0</v>
      </c>
      <c r="P94" s="542">
        <v>0</v>
      </c>
      <c r="Q94" s="545">
        <v>95</v>
      </c>
      <c r="R94" s="539">
        <f t="shared" si="21"/>
        <v>231</v>
      </c>
      <c r="S94" s="534">
        <f t="shared" si="22"/>
        <v>4.895104895104895</v>
      </c>
      <c r="T94" s="530">
        <f t="shared" si="20"/>
        <v>0</v>
      </c>
      <c r="U94" s="395"/>
    </row>
    <row r="95" spans="1:21" s="387" customFormat="1" ht="23.25" customHeight="1">
      <c r="A95" s="531">
        <v>13.2</v>
      </c>
      <c r="B95" s="568" t="s">
        <v>522</v>
      </c>
      <c r="C95" s="542">
        <f aca="true" t="shared" si="26" ref="C95:C103">D95+E95</f>
        <v>196</v>
      </c>
      <c r="D95" s="542">
        <v>181</v>
      </c>
      <c r="E95" s="542">
        <v>15</v>
      </c>
      <c r="F95" s="542">
        <v>0</v>
      </c>
      <c r="G95" s="542">
        <v>0</v>
      </c>
      <c r="H95" s="542">
        <f aca="true" t="shared" si="27" ref="H95:H103">I95+Q95</f>
        <v>196</v>
      </c>
      <c r="I95" s="542">
        <f>J95+K95+L95+M95+N95+O95+P95</f>
        <v>55</v>
      </c>
      <c r="J95" s="542">
        <v>4</v>
      </c>
      <c r="K95" s="542">
        <v>0</v>
      </c>
      <c r="L95" s="542">
        <v>51</v>
      </c>
      <c r="M95" s="542">
        <v>0</v>
      </c>
      <c r="N95" s="542">
        <v>0</v>
      </c>
      <c r="O95" s="542">
        <v>0</v>
      </c>
      <c r="P95" s="542">
        <v>0</v>
      </c>
      <c r="Q95" s="545">
        <v>141</v>
      </c>
      <c r="R95" s="539">
        <f t="shared" si="21"/>
        <v>192</v>
      </c>
      <c r="S95" s="534">
        <f t="shared" si="22"/>
        <v>7.2727272727272725</v>
      </c>
      <c r="T95" s="530">
        <f t="shared" si="20"/>
        <v>0</v>
      </c>
      <c r="U95" s="395"/>
    </row>
    <row r="96" spans="1:21" s="387" customFormat="1" ht="23.25" customHeight="1">
      <c r="A96" s="531">
        <v>13.3</v>
      </c>
      <c r="B96" s="568" t="s">
        <v>558</v>
      </c>
      <c r="C96" s="542">
        <f t="shared" si="26"/>
        <v>332</v>
      </c>
      <c r="D96" s="542">
        <v>289</v>
      </c>
      <c r="E96" s="542">
        <v>43</v>
      </c>
      <c r="F96" s="542"/>
      <c r="G96" s="542">
        <v>0</v>
      </c>
      <c r="H96" s="542">
        <f t="shared" si="27"/>
        <v>332</v>
      </c>
      <c r="I96" s="542">
        <f aca="true" t="shared" si="28" ref="I96:I103">J96+K96+L96+M96+N96+O96+P96</f>
        <v>122</v>
      </c>
      <c r="J96" s="542">
        <v>15</v>
      </c>
      <c r="K96" s="542">
        <v>0</v>
      </c>
      <c r="L96" s="542">
        <v>107</v>
      </c>
      <c r="M96" s="542">
        <v>0</v>
      </c>
      <c r="N96" s="542">
        <v>0</v>
      </c>
      <c r="O96" s="542">
        <v>0</v>
      </c>
      <c r="P96" s="542">
        <v>0</v>
      </c>
      <c r="Q96" s="545">
        <v>210</v>
      </c>
      <c r="R96" s="539">
        <f t="shared" si="21"/>
        <v>317</v>
      </c>
      <c r="S96" s="534">
        <f t="shared" si="22"/>
        <v>12.295081967213115</v>
      </c>
      <c r="T96" s="530">
        <f t="shared" si="20"/>
        <v>0</v>
      </c>
      <c r="U96" s="395"/>
    </row>
    <row r="97" spans="1:21" s="387" customFormat="1" ht="23.25" customHeight="1">
      <c r="A97" s="531">
        <v>13.4</v>
      </c>
      <c r="B97" s="569" t="s">
        <v>559</v>
      </c>
      <c r="C97" s="542">
        <f t="shared" si="26"/>
        <v>273</v>
      </c>
      <c r="D97" s="542">
        <v>250</v>
      </c>
      <c r="E97" s="542">
        <v>23</v>
      </c>
      <c r="F97" s="542"/>
      <c r="G97" s="542"/>
      <c r="H97" s="542">
        <f>I97+Q97</f>
        <v>273</v>
      </c>
      <c r="I97" s="542">
        <f t="shared" si="28"/>
        <v>83</v>
      </c>
      <c r="J97" s="542">
        <v>5</v>
      </c>
      <c r="K97" s="542">
        <v>0</v>
      </c>
      <c r="L97" s="542">
        <v>78</v>
      </c>
      <c r="M97" s="542">
        <v>0</v>
      </c>
      <c r="N97" s="542">
        <v>0</v>
      </c>
      <c r="O97" s="542">
        <v>0</v>
      </c>
      <c r="P97" s="542">
        <v>0</v>
      </c>
      <c r="Q97" s="545">
        <v>190</v>
      </c>
      <c r="R97" s="539">
        <f t="shared" si="21"/>
        <v>268</v>
      </c>
      <c r="S97" s="534">
        <f t="shared" si="22"/>
        <v>6.024096385542169</v>
      </c>
      <c r="T97" s="530">
        <f t="shared" si="20"/>
        <v>0</v>
      </c>
      <c r="U97" s="395"/>
    </row>
    <row r="98" spans="1:21" s="387" customFormat="1" ht="23.25" customHeight="1">
      <c r="A98" s="531">
        <v>13.5</v>
      </c>
      <c r="B98" s="570" t="s">
        <v>593</v>
      </c>
      <c r="C98" s="542">
        <f t="shared" si="26"/>
        <v>141</v>
      </c>
      <c r="D98" s="542">
        <v>123</v>
      </c>
      <c r="E98" s="542">
        <v>18</v>
      </c>
      <c r="F98" s="542">
        <v>0</v>
      </c>
      <c r="G98" s="542">
        <v>0</v>
      </c>
      <c r="H98" s="542">
        <f t="shared" si="27"/>
        <v>141</v>
      </c>
      <c r="I98" s="542">
        <f t="shared" si="28"/>
        <v>62</v>
      </c>
      <c r="J98" s="542">
        <v>3</v>
      </c>
      <c r="K98" s="542">
        <v>0</v>
      </c>
      <c r="L98" s="542">
        <v>59</v>
      </c>
      <c r="M98" s="542">
        <v>0</v>
      </c>
      <c r="N98" s="542">
        <v>0</v>
      </c>
      <c r="O98" s="542">
        <v>0</v>
      </c>
      <c r="P98" s="542">
        <v>0</v>
      </c>
      <c r="Q98" s="545">
        <v>79</v>
      </c>
      <c r="R98" s="539">
        <f t="shared" si="21"/>
        <v>138</v>
      </c>
      <c r="S98" s="534">
        <f t="shared" si="22"/>
        <v>4.838709677419355</v>
      </c>
      <c r="T98" s="530">
        <f t="shared" si="20"/>
        <v>0</v>
      </c>
      <c r="U98" s="395"/>
    </row>
    <row r="99" spans="1:21" s="387" customFormat="1" ht="23.25" customHeight="1">
      <c r="A99" s="531">
        <v>13.6</v>
      </c>
      <c r="B99" s="570" t="s">
        <v>560</v>
      </c>
      <c r="C99" s="542">
        <f t="shared" si="26"/>
        <v>234</v>
      </c>
      <c r="D99" s="542">
        <v>217</v>
      </c>
      <c r="E99" s="542">
        <v>17</v>
      </c>
      <c r="F99" s="542">
        <v>0</v>
      </c>
      <c r="G99" s="542">
        <v>0</v>
      </c>
      <c r="H99" s="542">
        <f t="shared" si="27"/>
        <v>234</v>
      </c>
      <c r="I99" s="542">
        <f t="shared" si="28"/>
        <v>87</v>
      </c>
      <c r="J99" s="542">
        <v>6</v>
      </c>
      <c r="K99" s="542">
        <v>0</v>
      </c>
      <c r="L99" s="542">
        <v>81</v>
      </c>
      <c r="M99" s="542">
        <v>0</v>
      </c>
      <c r="N99" s="542">
        <v>0</v>
      </c>
      <c r="O99" s="542">
        <v>0</v>
      </c>
      <c r="P99" s="542">
        <v>0</v>
      </c>
      <c r="Q99" s="545">
        <v>147</v>
      </c>
      <c r="R99" s="539">
        <f t="shared" si="21"/>
        <v>228</v>
      </c>
      <c r="S99" s="534">
        <f t="shared" si="22"/>
        <v>6.896551724137931</v>
      </c>
      <c r="T99" s="530">
        <f t="shared" si="20"/>
        <v>0</v>
      </c>
      <c r="U99" s="395"/>
    </row>
    <row r="100" spans="1:21" s="387" customFormat="1" ht="23.25" customHeight="1">
      <c r="A100" s="531">
        <v>13.7</v>
      </c>
      <c r="B100" s="570" t="s">
        <v>594</v>
      </c>
      <c r="C100" s="542">
        <f t="shared" si="26"/>
        <v>209</v>
      </c>
      <c r="D100" s="542">
        <v>187</v>
      </c>
      <c r="E100" s="542">
        <v>22</v>
      </c>
      <c r="F100" s="542">
        <v>0</v>
      </c>
      <c r="G100" s="542">
        <v>0</v>
      </c>
      <c r="H100" s="542">
        <f t="shared" si="27"/>
        <v>209</v>
      </c>
      <c r="I100" s="542">
        <f>J100+K100+L100+M100+N100+O100+P100</f>
        <v>76</v>
      </c>
      <c r="J100" s="542">
        <v>9</v>
      </c>
      <c r="K100" s="542">
        <v>0</v>
      </c>
      <c r="L100" s="542">
        <v>67</v>
      </c>
      <c r="M100" s="542">
        <v>0</v>
      </c>
      <c r="N100" s="542">
        <v>0</v>
      </c>
      <c r="O100" s="542">
        <v>0</v>
      </c>
      <c r="P100" s="542">
        <v>0</v>
      </c>
      <c r="Q100" s="545">
        <v>133</v>
      </c>
      <c r="R100" s="539">
        <f t="shared" si="21"/>
        <v>200</v>
      </c>
      <c r="S100" s="534">
        <f t="shared" si="22"/>
        <v>11.842105263157894</v>
      </c>
      <c r="T100" s="530">
        <f t="shared" si="20"/>
        <v>0</v>
      </c>
      <c r="U100" s="395"/>
    </row>
    <row r="101" spans="1:21" s="387" customFormat="1" ht="23.25" customHeight="1">
      <c r="A101" s="531">
        <v>13.8</v>
      </c>
      <c r="B101" s="568" t="s">
        <v>595</v>
      </c>
      <c r="C101" s="542">
        <f t="shared" si="26"/>
        <v>167</v>
      </c>
      <c r="D101" s="542">
        <v>152</v>
      </c>
      <c r="E101" s="542">
        <v>15</v>
      </c>
      <c r="F101" s="542">
        <v>0</v>
      </c>
      <c r="G101" s="542">
        <v>0</v>
      </c>
      <c r="H101" s="542">
        <f t="shared" si="27"/>
        <v>167</v>
      </c>
      <c r="I101" s="542">
        <f t="shared" si="28"/>
        <v>54</v>
      </c>
      <c r="J101" s="542">
        <v>3</v>
      </c>
      <c r="K101" s="542">
        <v>0</v>
      </c>
      <c r="L101" s="542">
        <v>51</v>
      </c>
      <c r="M101" s="542">
        <v>0</v>
      </c>
      <c r="N101" s="542">
        <v>0</v>
      </c>
      <c r="O101" s="542">
        <v>0</v>
      </c>
      <c r="P101" s="542">
        <v>0</v>
      </c>
      <c r="Q101" s="545">
        <v>113</v>
      </c>
      <c r="R101" s="539">
        <f t="shared" si="21"/>
        <v>164</v>
      </c>
      <c r="S101" s="534">
        <f t="shared" si="22"/>
        <v>5.555555555555555</v>
      </c>
      <c r="T101" s="530">
        <f t="shared" si="20"/>
        <v>0</v>
      </c>
      <c r="U101" s="395"/>
    </row>
    <row r="102" spans="1:21" s="387" customFormat="1" ht="23.25" customHeight="1">
      <c r="A102" s="531">
        <v>13.9</v>
      </c>
      <c r="B102" s="568" t="s">
        <v>561</v>
      </c>
      <c r="C102" s="542">
        <f t="shared" si="26"/>
        <v>234</v>
      </c>
      <c r="D102" s="542">
        <v>224</v>
      </c>
      <c r="E102" s="542">
        <v>10</v>
      </c>
      <c r="F102" s="542">
        <v>0</v>
      </c>
      <c r="G102" s="542">
        <v>0</v>
      </c>
      <c r="H102" s="542">
        <f t="shared" si="27"/>
        <v>234</v>
      </c>
      <c r="I102" s="542">
        <f t="shared" si="28"/>
        <v>131</v>
      </c>
      <c r="J102" s="542">
        <v>7</v>
      </c>
      <c r="K102" s="542">
        <v>0</v>
      </c>
      <c r="L102" s="542">
        <v>124</v>
      </c>
      <c r="M102" s="542">
        <v>0</v>
      </c>
      <c r="N102" s="542">
        <v>0</v>
      </c>
      <c r="O102" s="542">
        <v>0</v>
      </c>
      <c r="P102" s="542">
        <v>0</v>
      </c>
      <c r="Q102" s="545">
        <v>103</v>
      </c>
      <c r="R102" s="539">
        <f t="shared" si="21"/>
        <v>227</v>
      </c>
      <c r="S102" s="534">
        <f t="shared" si="22"/>
        <v>5.343511450381679</v>
      </c>
      <c r="T102" s="530">
        <f t="shared" si="20"/>
        <v>0</v>
      </c>
      <c r="U102" s="395"/>
    </row>
    <row r="103" spans="1:21" s="387" customFormat="1" ht="23.25" customHeight="1">
      <c r="A103" s="531" t="s">
        <v>562</v>
      </c>
      <c r="B103" s="568" t="s">
        <v>462</v>
      </c>
      <c r="C103" s="542">
        <f t="shared" si="26"/>
        <v>125</v>
      </c>
      <c r="D103" s="542">
        <v>104</v>
      </c>
      <c r="E103" s="542">
        <v>21</v>
      </c>
      <c r="F103" s="542"/>
      <c r="G103" s="542">
        <v>0</v>
      </c>
      <c r="H103" s="542">
        <f t="shared" si="27"/>
        <v>125</v>
      </c>
      <c r="I103" s="542">
        <f t="shared" si="28"/>
        <v>57</v>
      </c>
      <c r="J103" s="542">
        <v>7</v>
      </c>
      <c r="K103" s="542">
        <v>0</v>
      </c>
      <c r="L103" s="542">
        <v>50</v>
      </c>
      <c r="M103" s="542">
        <v>0</v>
      </c>
      <c r="N103" s="542">
        <v>0</v>
      </c>
      <c r="O103" s="542">
        <v>0</v>
      </c>
      <c r="P103" s="542">
        <v>0</v>
      </c>
      <c r="Q103" s="545">
        <v>68</v>
      </c>
      <c r="R103" s="539">
        <f t="shared" si="21"/>
        <v>118</v>
      </c>
      <c r="S103" s="534">
        <f t="shared" si="22"/>
        <v>12.280701754385964</v>
      </c>
      <c r="T103" s="530">
        <f t="shared" si="20"/>
        <v>0</v>
      </c>
      <c r="U103" s="395"/>
    </row>
    <row r="104" spans="1:21" s="387" customFormat="1" ht="23.25" customHeight="1">
      <c r="A104" s="514">
        <v>14</v>
      </c>
      <c r="B104" s="399" t="s">
        <v>523</v>
      </c>
      <c r="C104" s="515">
        <f>C105+C106</f>
        <v>278</v>
      </c>
      <c r="D104" s="515">
        <f aca="true" t="shared" si="29" ref="D104:Q104">D105+D106</f>
        <v>247</v>
      </c>
      <c r="E104" s="515">
        <f t="shared" si="29"/>
        <v>31</v>
      </c>
      <c r="F104" s="515">
        <f t="shared" si="29"/>
        <v>2</v>
      </c>
      <c r="G104" s="515">
        <f t="shared" si="29"/>
        <v>0</v>
      </c>
      <c r="H104" s="515">
        <f t="shared" si="29"/>
        <v>276</v>
      </c>
      <c r="I104" s="515">
        <f t="shared" si="29"/>
        <v>147</v>
      </c>
      <c r="J104" s="515">
        <f t="shared" si="29"/>
        <v>10</v>
      </c>
      <c r="K104" s="515">
        <f t="shared" si="29"/>
        <v>0</v>
      </c>
      <c r="L104" s="515">
        <f t="shared" si="29"/>
        <v>137</v>
      </c>
      <c r="M104" s="515">
        <f t="shared" si="29"/>
        <v>0</v>
      </c>
      <c r="N104" s="515">
        <f t="shared" si="29"/>
        <v>0</v>
      </c>
      <c r="O104" s="515">
        <f t="shared" si="29"/>
        <v>0</v>
      </c>
      <c r="P104" s="515">
        <f t="shared" si="29"/>
        <v>0</v>
      </c>
      <c r="Q104" s="515">
        <f t="shared" si="29"/>
        <v>129</v>
      </c>
      <c r="R104" s="406">
        <f t="shared" si="21"/>
        <v>266</v>
      </c>
      <c r="S104" s="408">
        <f t="shared" si="22"/>
        <v>6.802721088435375</v>
      </c>
      <c r="T104" s="530">
        <f t="shared" si="20"/>
        <v>0</v>
      </c>
      <c r="U104" s="395"/>
    </row>
    <row r="105" spans="1:21" s="387" customFormat="1" ht="23.25" customHeight="1">
      <c r="A105" s="548" t="s">
        <v>524</v>
      </c>
      <c r="B105" s="540" t="s">
        <v>525</v>
      </c>
      <c r="C105" s="542">
        <f>D105+E105</f>
        <v>132</v>
      </c>
      <c r="D105" s="542" t="s">
        <v>585</v>
      </c>
      <c r="E105" s="542" t="s">
        <v>83</v>
      </c>
      <c r="F105" s="542" t="s">
        <v>44</v>
      </c>
      <c r="G105" s="542" t="s">
        <v>543</v>
      </c>
      <c r="H105" s="542">
        <f>I105+Q105</f>
        <v>130</v>
      </c>
      <c r="I105" s="542">
        <f>P105+O105+N105+M105+L105+K105+J105</f>
        <v>68</v>
      </c>
      <c r="J105" s="542" t="s">
        <v>586</v>
      </c>
      <c r="K105" s="542" t="s">
        <v>543</v>
      </c>
      <c r="L105" s="542" t="s">
        <v>587</v>
      </c>
      <c r="M105" s="542" t="s">
        <v>543</v>
      </c>
      <c r="N105" s="542" t="s">
        <v>543</v>
      </c>
      <c r="O105" s="544" t="s">
        <v>543</v>
      </c>
      <c r="P105" s="545" t="s">
        <v>543</v>
      </c>
      <c r="Q105" s="545">
        <v>62</v>
      </c>
      <c r="R105" s="539">
        <f t="shared" si="21"/>
        <v>62</v>
      </c>
      <c r="S105" s="534">
        <f t="shared" si="22"/>
        <v>1.4705882352941175</v>
      </c>
      <c r="T105" s="530">
        <f t="shared" si="20"/>
        <v>0</v>
      </c>
      <c r="U105" s="395"/>
    </row>
    <row r="106" spans="1:21" s="387" customFormat="1" ht="23.25" customHeight="1">
      <c r="A106" s="548" t="s">
        <v>526</v>
      </c>
      <c r="B106" s="540" t="s">
        <v>527</v>
      </c>
      <c r="C106" s="542">
        <f>D106+E106</f>
        <v>146</v>
      </c>
      <c r="D106" s="542" t="s">
        <v>588</v>
      </c>
      <c r="E106" s="542" t="s">
        <v>589</v>
      </c>
      <c r="F106" s="542" t="s">
        <v>543</v>
      </c>
      <c r="G106" s="542" t="s">
        <v>543</v>
      </c>
      <c r="H106" s="542">
        <f>I106+Q106</f>
        <v>146</v>
      </c>
      <c r="I106" s="542">
        <f>P106+O106+N106+M106+L106+K106+J106</f>
        <v>79</v>
      </c>
      <c r="J106" s="542" t="s">
        <v>590</v>
      </c>
      <c r="K106" s="542" t="s">
        <v>543</v>
      </c>
      <c r="L106" s="542" t="s">
        <v>591</v>
      </c>
      <c r="M106" s="542" t="s">
        <v>543</v>
      </c>
      <c r="N106" s="542" t="s">
        <v>543</v>
      </c>
      <c r="O106" s="544" t="s">
        <v>543</v>
      </c>
      <c r="P106" s="545" t="s">
        <v>543</v>
      </c>
      <c r="Q106" s="545">
        <v>67</v>
      </c>
      <c r="R106" s="539">
        <f t="shared" si="21"/>
        <v>67</v>
      </c>
      <c r="S106" s="534">
        <f t="shared" si="22"/>
        <v>11.39240506329114</v>
      </c>
      <c r="T106" s="530">
        <f t="shared" si="20"/>
        <v>0</v>
      </c>
      <c r="U106" s="395"/>
    </row>
    <row r="107" spans="1:21" s="387" customFormat="1" ht="23.25" customHeight="1">
      <c r="A107" s="514">
        <v>15</v>
      </c>
      <c r="B107" s="399" t="s">
        <v>528</v>
      </c>
      <c r="C107" s="515">
        <f>SUM(C108:C111)</f>
        <v>189</v>
      </c>
      <c r="D107" s="515">
        <f aca="true" t="shared" si="30" ref="D107:R107">SUM(D108:D111)</f>
        <v>168</v>
      </c>
      <c r="E107" s="515">
        <f t="shared" si="30"/>
        <v>21</v>
      </c>
      <c r="F107" s="515">
        <f t="shared" si="30"/>
        <v>1</v>
      </c>
      <c r="G107" s="515">
        <f t="shared" si="30"/>
        <v>0</v>
      </c>
      <c r="H107" s="515">
        <f t="shared" si="30"/>
        <v>188</v>
      </c>
      <c r="I107" s="515">
        <f t="shared" si="30"/>
        <v>70</v>
      </c>
      <c r="J107" s="515">
        <f t="shared" si="30"/>
        <v>6</v>
      </c>
      <c r="K107" s="515">
        <f t="shared" si="30"/>
        <v>0</v>
      </c>
      <c r="L107" s="515">
        <f t="shared" si="30"/>
        <v>64</v>
      </c>
      <c r="M107" s="515">
        <f t="shared" si="30"/>
        <v>0</v>
      </c>
      <c r="N107" s="515">
        <f t="shared" si="30"/>
        <v>0</v>
      </c>
      <c r="O107" s="515">
        <f t="shared" si="30"/>
        <v>0</v>
      </c>
      <c r="P107" s="515">
        <f t="shared" si="30"/>
        <v>0</v>
      </c>
      <c r="Q107" s="515">
        <f t="shared" si="30"/>
        <v>118</v>
      </c>
      <c r="R107" s="515">
        <f t="shared" si="30"/>
        <v>182</v>
      </c>
      <c r="S107" s="408">
        <f t="shared" si="22"/>
        <v>8.571428571428571</v>
      </c>
      <c r="T107" s="530">
        <f t="shared" si="20"/>
        <v>0</v>
      </c>
      <c r="U107" s="395"/>
    </row>
    <row r="108" spans="1:21" s="387" customFormat="1" ht="23.25" customHeight="1">
      <c r="A108" s="531">
        <v>15.1</v>
      </c>
      <c r="B108" s="553" t="s">
        <v>529</v>
      </c>
      <c r="C108" s="542">
        <f>D108+E108</f>
        <v>23</v>
      </c>
      <c r="D108" s="542">
        <v>20</v>
      </c>
      <c r="E108" s="542">
        <v>3</v>
      </c>
      <c r="F108" s="542">
        <v>1</v>
      </c>
      <c r="G108" s="542">
        <v>0</v>
      </c>
      <c r="H108" s="542">
        <f>I108+Q108</f>
        <v>22</v>
      </c>
      <c r="I108" s="542">
        <f>J108+K108+L108+M108+N108+O108+P108</f>
        <v>12</v>
      </c>
      <c r="J108" s="542">
        <v>2</v>
      </c>
      <c r="K108" s="542">
        <v>0</v>
      </c>
      <c r="L108" s="542">
        <f>C108-F108-J108-K108-M108-N108-O108-P108-Q108</f>
        <v>10</v>
      </c>
      <c r="M108" s="542">
        <v>0</v>
      </c>
      <c r="N108" s="542">
        <v>0</v>
      </c>
      <c r="O108" s="542">
        <v>0</v>
      </c>
      <c r="P108" s="542">
        <v>0</v>
      </c>
      <c r="Q108" s="571">
        <v>10</v>
      </c>
      <c r="R108" s="539">
        <f t="shared" si="21"/>
        <v>20</v>
      </c>
      <c r="S108" s="534">
        <f t="shared" si="22"/>
        <v>16.666666666666664</v>
      </c>
      <c r="T108" s="530">
        <f t="shared" si="20"/>
        <v>0</v>
      </c>
      <c r="U108" s="395"/>
    </row>
    <row r="109" spans="1:21" s="387" customFormat="1" ht="23.25" customHeight="1">
      <c r="A109" s="531">
        <v>15.2</v>
      </c>
      <c r="B109" s="553" t="s">
        <v>563</v>
      </c>
      <c r="C109" s="542">
        <f>D109+E109</f>
        <v>67</v>
      </c>
      <c r="D109" s="542">
        <v>61</v>
      </c>
      <c r="E109" s="542">
        <v>6</v>
      </c>
      <c r="F109" s="542">
        <v>0</v>
      </c>
      <c r="G109" s="542">
        <v>0</v>
      </c>
      <c r="H109" s="542">
        <f>I109+Q109</f>
        <v>67</v>
      </c>
      <c r="I109" s="542">
        <f>J109+K109+L109+M109+N109+O109+P109</f>
        <v>24</v>
      </c>
      <c r="J109" s="542">
        <v>2</v>
      </c>
      <c r="K109" s="542">
        <v>0</v>
      </c>
      <c r="L109" s="542">
        <f>C109-F109-J109-K109-M109-N109-O109-P109-Q109</f>
        <v>22</v>
      </c>
      <c r="M109" s="542">
        <v>0</v>
      </c>
      <c r="N109" s="542">
        <v>0</v>
      </c>
      <c r="O109" s="542" t="s">
        <v>543</v>
      </c>
      <c r="P109" s="542" t="s">
        <v>543</v>
      </c>
      <c r="Q109" s="571">
        <v>43</v>
      </c>
      <c r="R109" s="539">
        <f t="shared" si="21"/>
        <v>65</v>
      </c>
      <c r="S109" s="534">
        <f t="shared" si="22"/>
        <v>8.333333333333332</v>
      </c>
      <c r="T109" s="530">
        <f t="shared" si="20"/>
        <v>0</v>
      </c>
      <c r="U109" s="395"/>
    </row>
    <row r="110" spans="1:21" s="387" customFormat="1" ht="23.25" customHeight="1">
      <c r="A110" s="531">
        <v>15.3</v>
      </c>
      <c r="B110" s="553" t="s">
        <v>564</v>
      </c>
      <c r="C110" s="542">
        <f>D110+E110</f>
        <v>46</v>
      </c>
      <c r="D110" s="542">
        <v>41</v>
      </c>
      <c r="E110" s="542">
        <v>5</v>
      </c>
      <c r="F110" s="542">
        <v>0</v>
      </c>
      <c r="G110" s="542">
        <v>0</v>
      </c>
      <c r="H110" s="542">
        <f>I110+Q110</f>
        <v>46</v>
      </c>
      <c r="I110" s="542">
        <f>J110+K110+L110+M110+N110+O110+P110</f>
        <v>11</v>
      </c>
      <c r="J110" s="542">
        <v>1</v>
      </c>
      <c r="K110" s="542">
        <v>0</v>
      </c>
      <c r="L110" s="542">
        <f>C110-F110-J110-K110-M110-N110-O110-P110-Q110</f>
        <v>10</v>
      </c>
      <c r="M110" s="542">
        <v>0</v>
      </c>
      <c r="N110" s="542">
        <v>0</v>
      </c>
      <c r="O110" s="542">
        <v>0</v>
      </c>
      <c r="P110" s="542">
        <v>0</v>
      </c>
      <c r="Q110" s="571">
        <v>35</v>
      </c>
      <c r="R110" s="539">
        <f t="shared" si="21"/>
        <v>45</v>
      </c>
      <c r="S110" s="534">
        <f t="shared" si="22"/>
        <v>9.090909090909092</v>
      </c>
      <c r="T110" s="530">
        <f t="shared" si="20"/>
        <v>0</v>
      </c>
      <c r="U110" s="395"/>
    </row>
    <row r="111" spans="1:21" s="398" customFormat="1" ht="29.25" customHeight="1">
      <c r="A111" s="531">
        <v>15.4</v>
      </c>
      <c r="B111" s="553" t="s">
        <v>565</v>
      </c>
      <c r="C111" s="542">
        <f>D111+E111</f>
        <v>53</v>
      </c>
      <c r="D111" s="542">
        <v>46</v>
      </c>
      <c r="E111" s="542">
        <v>7</v>
      </c>
      <c r="F111" s="542">
        <v>0</v>
      </c>
      <c r="G111" s="542">
        <v>0</v>
      </c>
      <c r="H111" s="542">
        <f>I111+Q111</f>
        <v>53</v>
      </c>
      <c r="I111" s="542">
        <f>J111+K111+L111+M111+N111+O111+P111</f>
        <v>23</v>
      </c>
      <c r="J111" s="542">
        <v>1</v>
      </c>
      <c r="K111" s="542">
        <v>0</v>
      </c>
      <c r="L111" s="542">
        <f>C111-F111-J111-K111-M111-N111-O111-P111-Q111</f>
        <v>22</v>
      </c>
      <c r="M111" s="542">
        <v>0</v>
      </c>
      <c r="N111" s="542">
        <v>0</v>
      </c>
      <c r="O111" s="542" t="s">
        <v>543</v>
      </c>
      <c r="P111" s="542" t="s">
        <v>543</v>
      </c>
      <c r="Q111" s="571">
        <v>30</v>
      </c>
      <c r="R111" s="539">
        <f t="shared" si="21"/>
        <v>52</v>
      </c>
      <c r="S111" s="534">
        <f t="shared" si="22"/>
        <v>4.3478260869565215</v>
      </c>
      <c r="T111" s="530">
        <f t="shared" si="20"/>
        <v>0</v>
      </c>
      <c r="U111" s="397"/>
    </row>
    <row r="112" spans="1:21" s="463" customFormat="1" ht="19.5" customHeight="1">
      <c r="A112" s="902"/>
      <c r="B112" s="902"/>
      <c r="C112" s="902"/>
      <c r="D112" s="902"/>
      <c r="E112" s="902"/>
      <c r="F112" s="464"/>
      <c r="G112" s="465"/>
      <c r="H112" s="494"/>
      <c r="I112" s="494"/>
      <c r="J112" s="465"/>
      <c r="K112" s="465"/>
      <c r="L112" s="900" t="s">
        <v>599</v>
      </c>
      <c r="M112" s="900"/>
      <c r="N112" s="900"/>
      <c r="O112" s="900"/>
      <c r="P112" s="900"/>
      <c r="Q112" s="900"/>
      <c r="R112" s="900"/>
      <c r="S112" s="900"/>
      <c r="T112" s="591"/>
      <c r="U112" s="466"/>
    </row>
    <row r="113" spans="1:21" s="410" customFormat="1" ht="18.75">
      <c r="A113" s="467"/>
      <c r="B113" s="901" t="s">
        <v>4</v>
      </c>
      <c r="C113" s="901"/>
      <c r="D113" s="901"/>
      <c r="E113" s="901"/>
      <c r="F113" s="468"/>
      <c r="G113" s="468"/>
      <c r="H113" s="495"/>
      <c r="I113" s="495"/>
      <c r="J113" s="468"/>
      <c r="K113" s="468"/>
      <c r="L113" s="468"/>
      <c r="M113" s="468"/>
      <c r="N113" s="468"/>
      <c r="O113" s="592" t="str">
        <f>'[8]Thong tin'!B7</f>
        <v>
PHÓ CỤC TRƯỞNG</v>
      </c>
      <c r="P113" s="592"/>
      <c r="Q113" s="592"/>
      <c r="R113" s="592"/>
      <c r="S113" s="592"/>
      <c r="T113" s="592"/>
      <c r="U113" s="411"/>
    </row>
    <row r="114" spans="1:21" s="410" customFormat="1" ht="18.75">
      <c r="A114" s="469"/>
      <c r="B114" s="470"/>
      <c r="C114" s="492"/>
      <c r="D114" s="471"/>
      <c r="E114" s="471"/>
      <c r="F114" s="471"/>
      <c r="G114" s="471"/>
      <c r="H114" s="492"/>
      <c r="I114" s="492"/>
      <c r="J114" s="471"/>
      <c r="K114" s="471"/>
      <c r="L114" s="471"/>
      <c r="M114" s="471"/>
      <c r="N114" s="471"/>
      <c r="O114" s="471"/>
      <c r="P114" s="471"/>
      <c r="Q114" s="471"/>
      <c r="R114" s="492"/>
      <c r="S114" s="492"/>
      <c r="T114" s="472"/>
      <c r="U114" s="411"/>
    </row>
    <row r="115" spans="1:21" s="410" customFormat="1" ht="18.75">
      <c r="A115" s="469"/>
      <c r="B115" s="470"/>
      <c r="C115" s="492"/>
      <c r="D115" s="471"/>
      <c r="E115" s="471"/>
      <c r="F115" s="471"/>
      <c r="G115" s="471"/>
      <c r="H115" s="492"/>
      <c r="I115" s="492"/>
      <c r="J115" s="471"/>
      <c r="K115" s="471"/>
      <c r="L115" s="471"/>
      <c r="M115" s="471"/>
      <c r="N115" s="471"/>
      <c r="O115" s="471"/>
      <c r="P115" s="471"/>
      <c r="Q115" s="471"/>
      <c r="R115" s="492"/>
      <c r="S115" s="492"/>
      <c r="T115" s="472"/>
      <c r="U115" s="411"/>
    </row>
    <row r="116" spans="1:21" s="410" customFormat="1" ht="18.75">
      <c r="A116" s="473"/>
      <c r="B116" s="897"/>
      <c r="C116" s="897"/>
      <c r="D116" s="897"/>
      <c r="E116" s="471"/>
      <c r="F116" s="471"/>
      <c r="G116" s="471"/>
      <c r="H116" s="492"/>
      <c r="I116" s="492"/>
      <c r="J116" s="471"/>
      <c r="K116" s="471"/>
      <c r="L116" s="471"/>
      <c r="M116" s="471"/>
      <c r="N116" s="471"/>
      <c r="O116" s="471"/>
      <c r="P116" s="471"/>
      <c r="Q116" s="905"/>
      <c r="R116" s="905"/>
      <c r="S116" s="905"/>
      <c r="T116" s="472"/>
      <c r="U116" s="411"/>
    </row>
    <row r="117" spans="1:21" s="410" customFormat="1" ht="15.75" customHeight="1">
      <c r="A117" s="474"/>
      <c r="B117" s="470"/>
      <c r="C117" s="492"/>
      <c r="D117" s="471"/>
      <c r="E117" s="471"/>
      <c r="F117" s="471"/>
      <c r="G117" s="471"/>
      <c r="H117" s="492"/>
      <c r="I117" s="492"/>
      <c r="J117" s="471"/>
      <c r="K117" s="471"/>
      <c r="L117" s="471"/>
      <c r="M117" s="471"/>
      <c r="N117" s="471"/>
      <c r="O117" s="471"/>
      <c r="P117" s="471"/>
      <c r="Q117" s="471"/>
      <c r="R117" s="492"/>
      <c r="S117" s="492"/>
      <c r="T117" s="472"/>
      <c r="U117" s="411"/>
    </row>
    <row r="118" spans="1:21" s="410" customFormat="1" ht="15.75" customHeight="1">
      <c r="A118" s="473"/>
      <c r="B118" s="897"/>
      <c r="C118" s="897"/>
      <c r="D118" s="897"/>
      <c r="E118" s="897"/>
      <c r="F118" s="897"/>
      <c r="G118" s="897"/>
      <c r="H118" s="897"/>
      <c r="I118" s="897"/>
      <c r="J118" s="897"/>
      <c r="K118" s="897"/>
      <c r="L118" s="897"/>
      <c r="M118" s="897"/>
      <c r="N118" s="897"/>
      <c r="O118" s="897"/>
      <c r="P118" s="897"/>
      <c r="Q118" s="471"/>
      <c r="R118" s="492"/>
      <c r="S118" s="492"/>
      <c r="T118" s="472"/>
      <c r="U118" s="411"/>
    </row>
    <row r="119" spans="1:21" s="410" customFormat="1" ht="18.75">
      <c r="A119" s="475"/>
      <c r="B119" s="476"/>
      <c r="C119" s="493"/>
      <c r="D119" s="477"/>
      <c r="E119" s="477"/>
      <c r="F119" s="477"/>
      <c r="G119" s="477"/>
      <c r="H119" s="493"/>
      <c r="I119" s="493"/>
      <c r="J119" s="477"/>
      <c r="K119" s="477"/>
      <c r="L119" s="477"/>
      <c r="M119" s="477"/>
      <c r="N119" s="477"/>
      <c r="O119" s="477"/>
      <c r="P119" s="477"/>
      <c r="Q119" s="477"/>
      <c r="R119" s="492"/>
      <c r="S119" s="492"/>
      <c r="T119" s="472"/>
      <c r="U119" s="411"/>
    </row>
    <row r="120" spans="1:21" s="410" customFormat="1" ht="18.75">
      <c r="A120" s="473"/>
      <c r="B120" s="897" t="str">
        <f>'Thong tin'!B5</f>
        <v>Trần Thị Minh</v>
      </c>
      <c r="C120" s="897"/>
      <c r="D120" s="897"/>
      <c r="E120" s="897"/>
      <c r="F120" s="471"/>
      <c r="G120" s="471"/>
      <c r="H120" s="492"/>
      <c r="I120" s="492"/>
      <c r="J120" s="471"/>
      <c r="K120" s="471"/>
      <c r="L120" s="471"/>
      <c r="M120" s="471"/>
      <c r="N120" s="471"/>
      <c r="O120" s="593" t="str">
        <f>'Thong tin'!B6</f>
        <v>Nguyễn Thị Mai Hoa</v>
      </c>
      <c r="P120" s="593"/>
      <c r="Q120" s="593"/>
      <c r="R120" s="593"/>
      <c r="S120" s="593"/>
      <c r="T120" s="593"/>
      <c r="U120" s="411"/>
    </row>
    <row r="121" spans="2:21" s="410" customFormat="1" ht="18.75">
      <c r="B121" s="898"/>
      <c r="C121" s="898"/>
      <c r="D121" s="898"/>
      <c r="E121" s="898"/>
      <c r="F121" s="411"/>
      <c r="G121" s="411"/>
      <c r="H121" s="479"/>
      <c r="I121" s="479"/>
      <c r="J121" s="411"/>
      <c r="K121" s="411"/>
      <c r="L121" s="411"/>
      <c r="M121" s="411"/>
      <c r="N121" s="411"/>
      <c r="O121" s="411"/>
      <c r="P121" s="898"/>
      <c r="Q121" s="898"/>
      <c r="R121" s="898"/>
      <c r="S121" s="898"/>
      <c r="T121" s="899"/>
      <c r="U121" s="411"/>
    </row>
    <row r="122" spans="2:19" ht="18.75">
      <c r="B122" s="386"/>
      <c r="C122" s="392"/>
      <c r="D122" s="379"/>
      <c r="E122" s="379"/>
      <c r="F122" s="379"/>
      <c r="G122" s="379"/>
      <c r="H122" s="392"/>
      <c r="I122" s="392"/>
      <c r="J122" s="379"/>
      <c r="K122" s="379"/>
      <c r="L122" s="379"/>
      <c r="M122" s="379"/>
      <c r="N122" s="379"/>
      <c r="O122" s="379"/>
      <c r="P122" s="379"/>
      <c r="Q122" s="392"/>
      <c r="R122" s="392"/>
      <c r="S122" s="379"/>
    </row>
  </sheetData>
  <sheetProtection/>
  <mergeCells count="34">
    <mergeCell ref="A2:D2"/>
    <mergeCell ref="P2:S2"/>
    <mergeCell ref="A3:D3"/>
    <mergeCell ref="R6:R9"/>
    <mergeCell ref="E8:E9"/>
    <mergeCell ref="J8:P8"/>
    <mergeCell ref="A6:B9"/>
    <mergeCell ref="C7:C9"/>
    <mergeCell ref="D7:E7"/>
    <mergeCell ref="D8:D9"/>
    <mergeCell ref="A10:B10"/>
    <mergeCell ref="A11:B11"/>
    <mergeCell ref="E1:O1"/>
    <mergeCell ref="E2:O2"/>
    <mergeCell ref="E3:O3"/>
    <mergeCell ref="F6:F9"/>
    <mergeCell ref="G6:G9"/>
    <mergeCell ref="H6:Q6"/>
    <mergeCell ref="C6:E6"/>
    <mergeCell ref="P4:S4"/>
    <mergeCell ref="I8:I9"/>
    <mergeCell ref="S6:S9"/>
    <mergeCell ref="I7:P7"/>
    <mergeCell ref="H7:H9"/>
    <mergeCell ref="Q7:Q9"/>
    <mergeCell ref="Q116:S116"/>
    <mergeCell ref="B118:P118"/>
    <mergeCell ref="B120:E120"/>
    <mergeCell ref="P121:T121"/>
    <mergeCell ref="L112:S112"/>
    <mergeCell ref="B121:E121"/>
    <mergeCell ref="B113:E113"/>
    <mergeCell ref="B116:D116"/>
    <mergeCell ref="A112:E112"/>
  </mergeCells>
  <conditionalFormatting sqref="C87:C88">
    <cfRule type="expression" priority="3" dxfId="0" stopIfTrue="1">
      <formula>$C$16&lt;&gt;$F$16+$H$16</formula>
    </cfRule>
  </conditionalFormatting>
  <conditionalFormatting sqref="I87:I88">
    <cfRule type="expression" priority="2" dxfId="0" stopIfTrue="1">
      <formula>$I$16&lt;&gt;SUM($J$16:$P$16)</formula>
    </cfRule>
  </conditionalFormatting>
  <conditionalFormatting sqref="H87:H88">
    <cfRule type="expression" priority="1" dxfId="0" stopIfTrue="1">
      <formula>$H$16&lt;&gt;$I$16+$Q$16</formula>
    </cfRule>
  </conditionalFormatting>
  <printOptions/>
  <pageMargins left="0.3937007874015748" right="0" top="0" bottom="0" header="0.4330708661417323" footer="0.2755905511811024"/>
  <pageSetup horizontalDpi="600" verticalDpi="600" orientation="landscape" paperSize="9" scale="88" r:id="rId4"/>
  <headerFooter differentFirst="1" alignWithMargins="0">
    <oddFooter>&amp;C&amp;P</oddFooter>
  </headerFooter>
  <ignoredErrors>
    <ignoredError sqref="D32:R37 D68:Q68 D89:L89 R90:R92 R94:R103 R73:R85 R72 R68:S68 R39:S44 S72 R47:S54 R46 R12:S12 R61:S67 R89 Q86:S88 S89 S56:S60 R13:R24" formulaRange="1"/>
    <ignoredError sqref="C69:C71 C90:C92 C56:C60 H56:H60 J56:Q60" unlockedFormula="1"/>
    <ignoredError sqref="D69:Q71 D90:Q92 R69:S71 R56:R60 I56:I60 S45:S46 R25:R30 S31 R55:S55" formulaRange="1" unlockedFormula="1"/>
    <ignoredError sqref="C93 H104 H107 R107" formula="1"/>
    <ignoredError sqref="D105:S106 O109:P111" numberStoredAsText="1"/>
    <ignoredError sqref="S45:S46" evalError="1" formulaRange="1"/>
    <ignoredError sqref="R25:R30 S31 R55:S55" formula="1" formulaRange="1"/>
  </ignoredErrors>
  <drawing r:id="rId3"/>
  <legacyDrawing r:id="rId2"/>
</worksheet>
</file>

<file path=xl/worksheets/sheet14.xml><?xml version="1.0" encoding="utf-8"?>
<worksheet xmlns="http://schemas.openxmlformats.org/spreadsheetml/2006/main" xmlns:r="http://schemas.openxmlformats.org/officeDocument/2006/relationships">
  <sheetPr>
    <tabColor indexed="19"/>
  </sheetPr>
  <dimension ref="A1:AJ120"/>
  <sheetViews>
    <sheetView showZeros="0" tabSelected="1" view="pageBreakPreview" zoomScale="85" zoomScaleNormal="85" zoomScaleSheetLayoutView="85" zoomScalePageLayoutView="0" workbookViewId="0" topLeftCell="A1">
      <selection activeCell="U15" sqref="U15"/>
    </sheetView>
  </sheetViews>
  <sheetFormatPr defaultColWidth="9.00390625" defaultRowHeight="15.75"/>
  <cols>
    <col min="1" max="1" width="4.375" style="410" customWidth="1"/>
    <col min="2" max="2" width="17.50390625" style="410" customWidth="1"/>
    <col min="3" max="3" width="9.50390625" style="479" customWidth="1"/>
    <col min="4" max="4" width="9.375" style="411" customWidth="1"/>
    <col min="5" max="5" width="9.875" style="411" customWidth="1"/>
    <col min="6" max="6" width="8.125" style="411" customWidth="1"/>
    <col min="7" max="7" width="7.75390625" style="411" customWidth="1"/>
    <col min="8" max="8" width="9.375" style="479" customWidth="1"/>
    <col min="9" max="9" width="10.25390625" style="479" customWidth="1"/>
    <col min="10" max="10" width="8.625" style="411" customWidth="1"/>
    <col min="11" max="11" width="8.50390625" style="411" customWidth="1"/>
    <col min="12" max="12" width="5.875" style="411" customWidth="1"/>
    <col min="13" max="13" width="10.00390625" style="411" customWidth="1"/>
    <col min="14" max="14" width="7.50390625" style="411" customWidth="1"/>
    <col min="15" max="15" width="8.625" style="411" customWidth="1"/>
    <col min="16" max="16" width="6.375" style="411" customWidth="1"/>
    <col min="17" max="17" width="8.625" style="411" customWidth="1"/>
    <col min="18" max="18" width="9.75390625" style="479" customWidth="1"/>
    <col min="19" max="19" width="10.375" style="479" customWidth="1"/>
    <col min="20" max="20" width="6.75390625" style="478" customWidth="1"/>
    <col min="21" max="21" width="13.125" style="411" bestFit="1" customWidth="1"/>
    <col min="22" max="16384" width="9.00390625" style="410" customWidth="1"/>
  </cols>
  <sheetData>
    <row r="1" spans="1:20" ht="20.25" customHeight="1">
      <c r="A1" s="410" t="s">
        <v>28</v>
      </c>
      <c r="E1" s="928" t="s">
        <v>64</v>
      </c>
      <c r="F1" s="928"/>
      <c r="G1" s="928"/>
      <c r="H1" s="928"/>
      <c r="I1" s="928"/>
      <c r="J1" s="928"/>
      <c r="K1" s="928"/>
      <c r="L1" s="928"/>
      <c r="M1" s="928"/>
      <c r="N1" s="928"/>
      <c r="O1" s="928"/>
      <c r="P1" s="928"/>
      <c r="Q1" s="412" t="s">
        <v>429</v>
      </c>
      <c r="R1" s="496"/>
      <c r="S1" s="496"/>
      <c r="T1" s="413"/>
    </row>
    <row r="2" spans="1:20" ht="17.25" customHeight="1">
      <c r="A2" s="915" t="s">
        <v>238</v>
      </c>
      <c r="B2" s="915"/>
      <c r="C2" s="915"/>
      <c r="D2" s="915"/>
      <c r="E2" s="929" t="s">
        <v>34</v>
      </c>
      <c r="F2" s="929"/>
      <c r="G2" s="929"/>
      <c r="H2" s="929"/>
      <c r="I2" s="929"/>
      <c r="J2" s="929"/>
      <c r="K2" s="929"/>
      <c r="L2" s="929"/>
      <c r="M2" s="929"/>
      <c r="N2" s="929"/>
      <c r="O2" s="929"/>
      <c r="P2" s="929"/>
      <c r="Q2" s="916" t="str">
        <f>'[8]Thong tin'!B4</f>
        <v>CTHADS Hải Phòng</v>
      </c>
      <c r="R2" s="916"/>
      <c r="S2" s="916"/>
      <c r="T2" s="916"/>
    </row>
    <row r="3" spans="1:20" ht="18" customHeight="1">
      <c r="A3" s="915" t="s">
        <v>239</v>
      </c>
      <c r="B3" s="915"/>
      <c r="C3" s="915"/>
      <c r="D3" s="915"/>
      <c r="E3" s="930" t="s">
        <v>598</v>
      </c>
      <c r="F3" s="930"/>
      <c r="G3" s="930"/>
      <c r="H3" s="930"/>
      <c r="I3" s="930"/>
      <c r="J3" s="930"/>
      <c r="K3" s="930"/>
      <c r="L3" s="930"/>
      <c r="M3" s="930"/>
      <c r="N3" s="930"/>
      <c r="O3" s="930"/>
      <c r="P3" s="930"/>
      <c r="Q3" s="412" t="s">
        <v>538</v>
      </c>
      <c r="R3" s="497"/>
      <c r="S3" s="496"/>
      <c r="T3" s="413"/>
    </row>
    <row r="4" spans="1:20" ht="14.25" customHeight="1">
      <c r="A4" s="414" t="s">
        <v>117</v>
      </c>
      <c r="Q4" s="914" t="s">
        <v>301</v>
      </c>
      <c r="R4" s="914"/>
      <c r="S4" s="914"/>
      <c r="T4" s="914"/>
    </row>
    <row r="5" spans="17:20" ht="21.75" customHeight="1" thickBot="1">
      <c r="Q5" s="927" t="s">
        <v>430</v>
      </c>
      <c r="R5" s="927"/>
      <c r="S5" s="927"/>
      <c r="T5" s="927"/>
    </row>
    <row r="6" spans="1:36" ht="18.75" customHeight="1" thickTop="1">
      <c r="A6" s="936" t="s">
        <v>55</v>
      </c>
      <c r="B6" s="937"/>
      <c r="C6" s="932" t="s">
        <v>118</v>
      </c>
      <c r="D6" s="932"/>
      <c r="E6" s="932"/>
      <c r="F6" s="924" t="s">
        <v>99</v>
      </c>
      <c r="G6" s="924" t="s">
        <v>119</v>
      </c>
      <c r="H6" s="926" t="s">
        <v>100</v>
      </c>
      <c r="I6" s="926"/>
      <c r="J6" s="926"/>
      <c r="K6" s="926"/>
      <c r="L6" s="926"/>
      <c r="M6" s="926"/>
      <c r="N6" s="926"/>
      <c r="O6" s="926"/>
      <c r="P6" s="926"/>
      <c r="Q6" s="926"/>
      <c r="R6" s="926"/>
      <c r="S6" s="943" t="s">
        <v>243</v>
      </c>
      <c r="T6" s="941" t="s">
        <v>428</v>
      </c>
      <c r="U6" s="412"/>
      <c r="V6" s="415"/>
      <c r="W6" s="415"/>
      <c r="X6" s="415"/>
      <c r="Y6" s="415"/>
      <c r="Z6" s="415"/>
      <c r="AA6" s="415"/>
      <c r="AB6" s="415"/>
      <c r="AC6" s="415"/>
      <c r="AD6" s="415"/>
      <c r="AE6" s="415"/>
      <c r="AF6" s="415"/>
      <c r="AG6" s="415"/>
      <c r="AH6" s="415"/>
      <c r="AI6" s="415"/>
      <c r="AJ6" s="415"/>
    </row>
    <row r="7" spans="1:36" s="416" customFormat="1" ht="21" customHeight="1">
      <c r="A7" s="938"/>
      <c r="B7" s="939"/>
      <c r="C7" s="933" t="s">
        <v>42</v>
      </c>
      <c r="D7" s="931" t="s">
        <v>7</v>
      </c>
      <c r="E7" s="931"/>
      <c r="F7" s="925"/>
      <c r="G7" s="925"/>
      <c r="H7" s="923" t="s">
        <v>100</v>
      </c>
      <c r="I7" s="931" t="s">
        <v>101</v>
      </c>
      <c r="J7" s="931"/>
      <c r="K7" s="931"/>
      <c r="L7" s="931"/>
      <c r="M7" s="931"/>
      <c r="N7" s="931"/>
      <c r="O7" s="931"/>
      <c r="P7" s="931"/>
      <c r="Q7" s="931"/>
      <c r="R7" s="923" t="s">
        <v>120</v>
      </c>
      <c r="S7" s="933"/>
      <c r="T7" s="942"/>
      <c r="U7" s="412"/>
      <c r="V7" s="415"/>
      <c r="W7" s="415"/>
      <c r="X7" s="415"/>
      <c r="Y7" s="415"/>
      <c r="Z7" s="415"/>
      <c r="AA7" s="415"/>
      <c r="AB7" s="415"/>
      <c r="AC7" s="415"/>
      <c r="AD7" s="415"/>
      <c r="AE7" s="415"/>
      <c r="AF7" s="415"/>
      <c r="AG7" s="415"/>
      <c r="AH7" s="415"/>
      <c r="AI7" s="415"/>
      <c r="AJ7" s="415"/>
    </row>
    <row r="8" spans="1:36" ht="21.75" customHeight="1">
      <c r="A8" s="938"/>
      <c r="B8" s="939"/>
      <c r="C8" s="933"/>
      <c r="D8" s="931" t="s">
        <v>121</v>
      </c>
      <c r="E8" s="931" t="s">
        <v>122</v>
      </c>
      <c r="F8" s="925"/>
      <c r="G8" s="925"/>
      <c r="H8" s="923"/>
      <c r="I8" s="923" t="s">
        <v>427</v>
      </c>
      <c r="J8" s="931" t="s">
        <v>7</v>
      </c>
      <c r="K8" s="931"/>
      <c r="L8" s="931"/>
      <c r="M8" s="931"/>
      <c r="N8" s="931"/>
      <c r="O8" s="931"/>
      <c r="P8" s="931"/>
      <c r="Q8" s="931"/>
      <c r="R8" s="923"/>
      <c r="S8" s="933"/>
      <c r="T8" s="942"/>
      <c r="U8" s="412"/>
      <c r="V8" s="415"/>
      <c r="W8" s="415"/>
      <c r="X8" s="415"/>
      <c r="Y8" s="415"/>
      <c r="Z8" s="415"/>
      <c r="AA8" s="415"/>
      <c r="AB8" s="415"/>
      <c r="AC8" s="415"/>
      <c r="AD8" s="415"/>
      <c r="AE8" s="415"/>
      <c r="AF8" s="415"/>
      <c r="AG8" s="415"/>
      <c r="AH8" s="415"/>
      <c r="AI8" s="415"/>
      <c r="AJ8" s="415"/>
    </row>
    <row r="9" spans="1:36" ht="84" customHeight="1">
      <c r="A9" s="938"/>
      <c r="B9" s="939"/>
      <c r="C9" s="933"/>
      <c r="D9" s="931"/>
      <c r="E9" s="931"/>
      <c r="F9" s="925"/>
      <c r="G9" s="925"/>
      <c r="H9" s="923"/>
      <c r="I9" s="923"/>
      <c r="J9" s="417" t="s">
        <v>123</v>
      </c>
      <c r="K9" s="417" t="s">
        <v>124</v>
      </c>
      <c r="L9" s="417" t="s">
        <v>116</v>
      </c>
      <c r="M9" s="418" t="s">
        <v>103</v>
      </c>
      <c r="N9" s="418" t="s">
        <v>125</v>
      </c>
      <c r="O9" s="418" t="s">
        <v>106</v>
      </c>
      <c r="P9" s="418" t="s">
        <v>244</v>
      </c>
      <c r="Q9" s="418" t="s">
        <v>109</v>
      </c>
      <c r="R9" s="923"/>
      <c r="S9" s="933"/>
      <c r="T9" s="942"/>
      <c r="U9" s="412"/>
      <c r="V9" s="415"/>
      <c r="W9" s="415"/>
      <c r="X9" s="415"/>
      <c r="Y9" s="415"/>
      <c r="Z9" s="415"/>
      <c r="AA9" s="415"/>
      <c r="AB9" s="415"/>
      <c r="AC9" s="415"/>
      <c r="AD9" s="415"/>
      <c r="AE9" s="415"/>
      <c r="AF9" s="415"/>
      <c r="AG9" s="415"/>
      <c r="AH9" s="415"/>
      <c r="AI9" s="415"/>
      <c r="AJ9" s="415"/>
    </row>
    <row r="10" spans="1:20" ht="16.5" customHeight="1">
      <c r="A10" s="934" t="s">
        <v>6</v>
      </c>
      <c r="B10" s="935"/>
      <c r="C10" s="480">
        <v>1</v>
      </c>
      <c r="D10" s="419">
        <v>2</v>
      </c>
      <c r="E10" s="419">
        <v>3</v>
      </c>
      <c r="F10" s="419">
        <v>4</v>
      </c>
      <c r="G10" s="419">
        <v>5</v>
      </c>
      <c r="H10" s="480">
        <v>6</v>
      </c>
      <c r="I10" s="480">
        <v>7</v>
      </c>
      <c r="J10" s="419">
        <v>8</v>
      </c>
      <c r="K10" s="419">
        <v>9</v>
      </c>
      <c r="L10" s="419" t="s">
        <v>81</v>
      </c>
      <c r="M10" s="419" t="s">
        <v>82</v>
      </c>
      <c r="N10" s="419" t="s">
        <v>83</v>
      </c>
      <c r="O10" s="419" t="s">
        <v>84</v>
      </c>
      <c r="P10" s="419" t="s">
        <v>85</v>
      </c>
      <c r="Q10" s="419" t="s">
        <v>246</v>
      </c>
      <c r="R10" s="480" t="s">
        <v>247</v>
      </c>
      <c r="S10" s="480" t="s">
        <v>248</v>
      </c>
      <c r="T10" s="420" t="s">
        <v>249</v>
      </c>
    </row>
    <row r="11" spans="1:21" s="509" customFormat="1" ht="29.25" customHeight="1">
      <c r="A11" s="944" t="s">
        <v>30</v>
      </c>
      <c r="B11" s="945"/>
      <c r="C11" s="507">
        <f>C12+C31</f>
        <v>3404164489</v>
      </c>
      <c r="D11" s="507">
        <f>D12+D31</f>
        <v>3209226708</v>
      </c>
      <c r="E11" s="507">
        <f aca="true" t="shared" si="0" ref="E11:S11">E12+E31</f>
        <v>194937781</v>
      </c>
      <c r="F11" s="507">
        <f t="shared" si="0"/>
        <v>85037</v>
      </c>
      <c r="G11" s="507">
        <f t="shared" si="0"/>
        <v>0</v>
      </c>
      <c r="H11" s="507">
        <f t="shared" si="0"/>
        <v>3404079452</v>
      </c>
      <c r="I11" s="507">
        <f t="shared" si="0"/>
        <v>1854514123</v>
      </c>
      <c r="J11" s="507">
        <f t="shared" si="0"/>
        <v>51469457</v>
      </c>
      <c r="K11" s="507">
        <f t="shared" si="0"/>
        <v>5189991</v>
      </c>
      <c r="L11" s="507">
        <f t="shared" si="0"/>
        <v>5306</v>
      </c>
      <c r="M11" s="507">
        <f t="shared" si="0"/>
        <v>1744742646</v>
      </c>
      <c r="N11" s="507">
        <f t="shared" si="0"/>
        <v>15756817</v>
      </c>
      <c r="O11" s="507">
        <f t="shared" si="0"/>
        <v>25076404</v>
      </c>
      <c r="P11" s="507">
        <f t="shared" si="0"/>
        <v>0</v>
      </c>
      <c r="Q11" s="507">
        <f t="shared" si="0"/>
        <v>12273502</v>
      </c>
      <c r="R11" s="507">
        <f t="shared" si="0"/>
        <v>1549565329</v>
      </c>
      <c r="S11" s="507">
        <f t="shared" si="0"/>
        <v>3347414698</v>
      </c>
      <c r="T11" s="409">
        <f>(J11+K11+L11)/I11*100</f>
        <v>3.0555040426618523</v>
      </c>
      <c r="U11" s="405">
        <f>E11-1061914884</f>
        <v>-866977103</v>
      </c>
    </row>
    <row r="12" spans="1:21" s="402" customFormat="1" ht="31.5" customHeight="1">
      <c r="A12" s="400" t="s">
        <v>0</v>
      </c>
      <c r="B12" s="510" t="s">
        <v>78</v>
      </c>
      <c r="C12" s="511">
        <f>SUM(C13:C30)</f>
        <v>884115917</v>
      </c>
      <c r="D12" s="511">
        <f aca="true" t="shared" si="1" ref="D12:R12">SUM(D13:D30)</f>
        <v>860596912</v>
      </c>
      <c r="E12" s="511">
        <f t="shared" si="1"/>
        <v>23519005</v>
      </c>
      <c r="F12" s="511">
        <f t="shared" si="1"/>
        <v>0</v>
      </c>
      <c r="G12" s="511">
        <f t="shared" si="1"/>
        <v>0</v>
      </c>
      <c r="H12" s="511">
        <f t="shared" si="1"/>
        <v>884115917</v>
      </c>
      <c r="I12" s="511">
        <f t="shared" si="1"/>
        <v>443458349</v>
      </c>
      <c r="J12" s="511">
        <f t="shared" si="1"/>
        <v>8412710</v>
      </c>
      <c r="K12" s="511">
        <f t="shared" si="1"/>
        <v>0</v>
      </c>
      <c r="L12" s="511">
        <f t="shared" si="1"/>
        <v>0</v>
      </c>
      <c r="M12" s="511">
        <f t="shared" si="1"/>
        <v>396013057</v>
      </c>
      <c r="N12" s="511">
        <f t="shared" si="1"/>
        <v>13965888</v>
      </c>
      <c r="O12" s="511">
        <f t="shared" si="1"/>
        <v>25066694</v>
      </c>
      <c r="P12" s="511">
        <f t="shared" si="1"/>
        <v>0</v>
      </c>
      <c r="Q12" s="511">
        <f t="shared" si="1"/>
        <v>0</v>
      </c>
      <c r="R12" s="511">
        <f t="shared" si="1"/>
        <v>440657568</v>
      </c>
      <c r="S12" s="508">
        <f>M12+N12+O12+P12+Q12+R12</f>
        <v>875703207</v>
      </c>
      <c r="T12" s="409">
        <f>(J12+K12+L12)/I12*100</f>
        <v>1.8970688045383943</v>
      </c>
      <c r="U12" s="405">
        <f>F11-2156212</f>
        <v>-2071175</v>
      </c>
    </row>
    <row r="13" spans="1:21" s="424" customFormat="1" ht="31.5" customHeight="1">
      <c r="A13" s="425" t="s">
        <v>45</v>
      </c>
      <c r="B13" s="425" t="s">
        <v>435</v>
      </c>
      <c r="C13" s="582">
        <f>D13+E13</f>
        <v>336800</v>
      </c>
      <c r="D13" s="585">
        <v>336800</v>
      </c>
      <c r="E13" s="582">
        <v>0</v>
      </c>
      <c r="F13" s="582">
        <v>0</v>
      </c>
      <c r="G13" s="582"/>
      <c r="H13" s="582">
        <f>I13+R13</f>
        <v>336800</v>
      </c>
      <c r="I13" s="582">
        <f>SUM(J13:Q13)</f>
        <v>336800</v>
      </c>
      <c r="J13" s="582">
        <v>0</v>
      </c>
      <c r="K13" s="582"/>
      <c r="L13" s="582"/>
      <c r="M13" s="582">
        <f>337000-200</f>
        <v>336800</v>
      </c>
      <c r="N13" s="582"/>
      <c r="O13" s="582"/>
      <c r="P13" s="582"/>
      <c r="Q13" s="582"/>
      <c r="R13" s="582"/>
      <c r="S13" s="481">
        <f>M13+N13+O13+P13+Q13+R13</f>
        <v>336800</v>
      </c>
      <c r="T13" s="422">
        <f>(J13+K13+L13)/I13*100</f>
        <v>0</v>
      </c>
      <c r="U13" s="411">
        <f>J11-72506321</f>
        <v>-21036864</v>
      </c>
    </row>
    <row r="14" spans="1:21" s="424" customFormat="1" ht="31.5" customHeight="1">
      <c r="A14" s="425" t="s">
        <v>46</v>
      </c>
      <c r="B14" s="425" t="s">
        <v>436</v>
      </c>
      <c r="C14" s="582">
        <f aca="true" t="shared" si="2" ref="C14:C30">D14+E14</f>
        <v>5650</v>
      </c>
      <c r="D14" s="585">
        <v>5650</v>
      </c>
      <c r="E14" s="582">
        <v>0</v>
      </c>
      <c r="F14" s="582">
        <v>0</v>
      </c>
      <c r="G14" s="582"/>
      <c r="H14" s="582">
        <f aca="true" t="shared" si="3" ref="H14:H30">I14+R14</f>
        <v>5650</v>
      </c>
      <c r="I14" s="582">
        <f aca="true" t="shared" si="4" ref="I14:I30">SUM(J14:Q14)</f>
        <v>5650</v>
      </c>
      <c r="J14" s="582">
        <v>0</v>
      </c>
      <c r="K14" s="582"/>
      <c r="L14" s="582"/>
      <c r="M14" s="582">
        <f>7352-1702</f>
        <v>5650</v>
      </c>
      <c r="N14" s="582"/>
      <c r="O14" s="582"/>
      <c r="P14" s="582"/>
      <c r="Q14" s="582"/>
      <c r="R14" s="582"/>
      <c r="S14" s="481">
        <f aca="true" t="shared" si="5" ref="S14:S30">M14+N14+O14+P14+Q14+R14</f>
        <v>5650</v>
      </c>
      <c r="T14" s="422">
        <f aca="true" t="shared" si="6" ref="T14:T30">(J14+K14+L14)/I14*100</f>
        <v>0</v>
      </c>
      <c r="U14" s="411">
        <f>K11-8238285</f>
        <v>-3048294</v>
      </c>
    </row>
    <row r="15" spans="1:21" s="424" customFormat="1" ht="31.5" customHeight="1">
      <c r="A15" s="425" t="s">
        <v>102</v>
      </c>
      <c r="B15" s="425" t="s">
        <v>434</v>
      </c>
      <c r="C15" s="582">
        <f>D15+E15</f>
        <v>0</v>
      </c>
      <c r="D15" s="585">
        <v>0</v>
      </c>
      <c r="E15" s="582">
        <v>0</v>
      </c>
      <c r="F15" s="582">
        <v>0</v>
      </c>
      <c r="G15" s="582"/>
      <c r="H15" s="582">
        <f t="shared" si="3"/>
        <v>0</v>
      </c>
      <c r="I15" s="582">
        <f t="shared" si="4"/>
        <v>0</v>
      </c>
      <c r="J15" s="582">
        <v>0</v>
      </c>
      <c r="K15" s="582"/>
      <c r="L15" s="582"/>
      <c r="M15" s="582">
        <v>0</v>
      </c>
      <c r="N15" s="582"/>
      <c r="O15" s="582"/>
      <c r="P15" s="582"/>
      <c r="Q15" s="582"/>
      <c r="R15" s="582"/>
      <c r="S15" s="481">
        <f t="shared" si="5"/>
        <v>0</v>
      </c>
      <c r="T15" s="422" t="e">
        <f t="shared" si="6"/>
        <v>#DIV/0!</v>
      </c>
      <c r="U15" s="411">
        <f aca="true" t="shared" si="7" ref="U12:U75">C15-F15-H15</f>
        <v>0</v>
      </c>
    </row>
    <row r="16" spans="1:21" s="424" customFormat="1" ht="31.5" customHeight="1">
      <c r="A16" s="425" t="s">
        <v>104</v>
      </c>
      <c r="B16" s="425" t="s">
        <v>530</v>
      </c>
      <c r="C16" s="582">
        <f t="shared" si="2"/>
        <v>37629709</v>
      </c>
      <c r="D16" s="585">
        <v>37629709</v>
      </c>
      <c r="E16" s="582">
        <v>0</v>
      </c>
      <c r="F16" s="582">
        <v>0</v>
      </c>
      <c r="G16" s="582"/>
      <c r="H16" s="582">
        <f t="shared" si="3"/>
        <v>37629709</v>
      </c>
      <c r="I16" s="582">
        <f t="shared" si="4"/>
        <v>37629709</v>
      </c>
      <c r="J16" s="582">
        <v>0</v>
      </c>
      <c r="K16" s="582"/>
      <c r="L16" s="582"/>
      <c r="M16" s="582">
        <v>12563015</v>
      </c>
      <c r="N16" s="582"/>
      <c r="O16" s="582">
        <v>25066694</v>
      </c>
      <c r="P16" s="582"/>
      <c r="Q16" s="582"/>
      <c r="R16" s="582"/>
      <c r="S16" s="481">
        <f t="shared" si="5"/>
        <v>37629709</v>
      </c>
      <c r="T16" s="422">
        <f t="shared" si="6"/>
        <v>0</v>
      </c>
      <c r="U16" s="411">
        <f t="shared" si="7"/>
        <v>0</v>
      </c>
    </row>
    <row r="17" spans="1:21" s="424" customFormat="1" ht="31.5" customHeight="1">
      <c r="A17" s="425" t="s">
        <v>105</v>
      </c>
      <c r="B17" s="425" t="s">
        <v>437</v>
      </c>
      <c r="C17" s="582">
        <f t="shared" si="2"/>
        <v>3746288</v>
      </c>
      <c r="D17" s="585">
        <v>3713115</v>
      </c>
      <c r="E17" s="582">
        <v>33173</v>
      </c>
      <c r="F17" s="582">
        <v>0</v>
      </c>
      <c r="G17" s="582"/>
      <c r="H17" s="582">
        <f t="shared" si="3"/>
        <v>3746288</v>
      </c>
      <c r="I17" s="582">
        <f t="shared" si="4"/>
        <v>1564958</v>
      </c>
      <c r="J17" s="582">
        <v>33173</v>
      </c>
      <c r="K17" s="582"/>
      <c r="L17" s="587"/>
      <c r="M17" s="587">
        <v>1531785</v>
      </c>
      <c r="N17" s="586"/>
      <c r="O17" s="586"/>
      <c r="P17" s="586"/>
      <c r="Q17" s="586"/>
      <c r="R17" s="586">
        <v>2181330</v>
      </c>
      <c r="S17" s="481">
        <f t="shared" si="5"/>
        <v>3713115</v>
      </c>
      <c r="T17" s="422">
        <f t="shared" si="6"/>
        <v>2.119737398703352</v>
      </c>
      <c r="U17" s="411">
        <f t="shared" si="7"/>
        <v>0</v>
      </c>
    </row>
    <row r="18" spans="1:21" s="424" customFormat="1" ht="31.5" customHeight="1">
      <c r="A18" s="425" t="s">
        <v>107</v>
      </c>
      <c r="B18" s="425" t="s">
        <v>438</v>
      </c>
      <c r="C18" s="582">
        <f t="shared" si="2"/>
        <v>36084778</v>
      </c>
      <c r="D18" s="585">
        <v>36084778</v>
      </c>
      <c r="E18" s="582">
        <v>0</v>
      </c>
      <c r="F18" s="582">
        <v>0</v>
      </c>
      <c r="G18" s="586"/>
      <c r="H18" s="582">
        <f t="shared" si="3"/>
        <v>36084778</v>
      </c>
      <c r="I18" s="582">
        <f t="shared" si="4"/>
        <v>5745765</v>
      </c>
      <c r="J18" s="582">
        <v>0</v>
      </c>
      <c r="K18" s="586">
        <v>0</v>
      </c>
      <c r="L18" s="586"/>
      <c r="M18" s="586">
        <v>5745765</v>
      </c>
      <c r="N18" s="587"/>
      <c r="O18" s="586"/>
      <c r="P18" s="586"/>
      <c r="Q18" s="586"/>
      <c r="R18" s="586">
        <v>30339013</v>
      </c>
      <c r="S18" s="481">
        <f t="shared" si="5"/>
        <v>36084778</v>
      </c>
      <c r="T18" s="422">
        <f t="shared" si="6"/>
        <v>0</v>
      </c>
      <c r="U18" s="411">
        <f t="shared" si="7"/>
        <v>0</v>
      </c>
    </row>
    <row r="19" spans="1:21" s="424" customFormat="1" ht="31.5" customHeight="1">
      <c r="A19" s="425" t="s">
        <v>108</v>
      </c>
      <c r="B19" s="425" t="s">
        <v>439</v>
      </c>
      <c r="C19" s="582">
        <f t="shared" si="2"/>
        <v>11111935</v>
      </c>
      <c r="D19" s="585">
        <v>11111935</v>
      </c>
      <c r="E19" s="582">
        <v>0</v>
      </c>
      <c r="F19" s="582">
        <v>0</v>
      </c>
      <c r="G19" s="586"/>
      <c r="H19" s="582">
        <f t="shared" si="3"/>
        <v>11111935</v>
      </c>
      <c r="I19" s="582">
        <f t="shared" si="4"/>
        <v>10982329</v>
      </c>
      <c r="J19" s="582">
        <v>0</v>
      </c>
      <c r="K19" s="586"/>
      <c r="L19" s="586"/>
      <c r="M19" s="586">
        <f>23282329-12300000</f>
        <v>10982329</v>
      </c>
      <c r="N19" s="587"/>
      <c r="O19" s="586"/>
      <c r="P19" s="586"/>
      <c r="Q19" s="586"/>
      <c r="R19" s="586">
        <v>129606</v>
      </c>
      <c r="S19" s="481">
        <f t="shared" si="5"/>
        <v>11111935</v>
      </c>
      <c r="T19" s="422">
        <f t="shared" si="6"/>
        <v>0</v>
      </c>
      <c r="U19" s="411">
        <f t="shared" si="7"/>
        <v>0</v>
      </c>
    </row>
    <row r="20" spans="1:21" s="424" customFormat="1" ht="31.5" customHeight="1">
      <c r="A20" s="425" t="s">
        <v>115</v>
      </c>
      <c r="B20" s="425" t="s">
        <v>440</v>
      </c>
      <c r="C20" s="582">
        <f t="shared" si="2"/>
        <v>203787</v>
      </c>
      <c r="D20" s="585">
        <v>192587</v>
      </c>
      <c r="E20" s="582">
        <v>11200</v>
      </c>
      <c r="F20" s="582">
        <v>0</v>
      </c>
      <c r="G20" s="586"/>
      <c r="H20" s="582">
        <f t="shared" si="3"/>
        <v>203787</v>
      </c>
      <c r="I20" s="582">
        <f t="shared" si="4"/>
        <v>150700</v>
      </c>
      <c r="J20" s="582">
        <v>800</v>
      </c>
      <c r="K20" s="586">
        <v>0</v>
      </c>
      <c r="L20" s="586"/>
      <c r="M20" s="586">
        <f>139500+10400</f>
        <v>149900</v>
      </c>
      <c r="N20" s="587"/>
      <c r="O20" s="586"/>
      <c r="P20" s="586"/>
      <c r="Q20" s="586"/>
      <c r="R20" s="586">
        <v>53087</v>
      </c>
      <c r="S20" s="481">
        <f t="shared" si="5"/>
        <v>202987</v>
      </c>
      <c r="T20" s="422">
        <f t="shared" si="6"/>
        <v>0.53085600530856</v>
      </c>
      <c r="U20" s="411">
        <f t="shared" si="7"/>
        <v>0</v>
      </c>
    </row>
    <row r="21" spans="1:21" s="424" customFormat="1" ht="31.5" customHeight="1">
      <c r="A21" s="425" t="s">
        <v>425</v>
      </c>
      <c r="B21" s="425" t="s">
        <v>442</v>
      </c>
      <c r="C21" s="582">
        <f t="shared" si="2"/>
        <v>103155876</v>
      </c>
      <c r="D21" s="585">
        <v>103036523</v>
      </c>
      <c r="E21" s="582">
        <v>119353</v>
      </c>
      <c r="F21" s="582">
        <v>0</v>
      </c>
      <c r="G21" s="586"/>
      <c r="H21" s="582">
        <f t="shared" si="3"/>
        <v>103155876</v>
      </c>
      <c r="I21" s="582">
        <f t="shared" si="4"/>
        <v>103155876</v>
      </c>
      <c r="J21" s="582">
        <v>0</v>
      </c>
      <c r="K21" s="586">
        <v>0</v>
      </c>
      <c r="L21" s="586"/>
      <c r="M21" s="586">
        <f>113037023-10000000-500+119353</f>
        <v>103155876</v>
      </c>
      <c r="N21" s="587"/>
      <c r="O21" s="586"/>
      <c r="P21" s="586"/>
      <c r="Q21" s="586"/>
      <c r="R21" s="586"/>
      <c r="S21" s="481">
        <f t="shared" si="5"/>
        <v>103155876</v>
      </c>
      <c r="T21" s="422">
        <f t="shared" si="6"/>
        <v>0</v>
      </c>
      <c r="U21" s="411">
        <f t="shared" si="7"/>
        <v>0</v>
      </c>
    </row>
    <row r="22" spans="1:21" s="424" customFormat="1" ht="31.5" customHeight="1">
      <c r="A22" s="425" t="s">
        <v>441</v>
      </c>
      <c r="B22" s="425" t="s">
        <v>444</v>
      </c>
      <c r="C22" s="582">
        <f t="shared" si="2"/>
        <v>39751844</v>
      </c>
      <c r="D22" s="585">
        <v>39751844</v>
      </c>
      <c r="E22" s="582">
        <v>0</v>
      </c>
      <c r="F22" s="582">
        <v>0</v>
      </c>
      <c r="G22" s="586"/>
      <c r="H22" s="582">
        <f t="shared" si="3"/>
        <v>39751844</v>
      </c>
      <c r="I22" s="582">
        <f t="shared" si="4"/>
        <v>39751844</v>
      </c>
      <c r="J22" s="582">
        <v>0</v>
      </c>
      <c r="K22" s="586"/>
      <c r="L22" s="586"/>
      <c r="M22" s="586">
        <v>39751844</v>
      </c>
      <c r="N22" s="587"/>
      <c r="O22" s="586"/>
      <c r="P22" s="586"/>
      <c r="Q22" s="586"/>
      <c r="R22" s="586"/>
      <c r="S22" s="481">
        <f t="shared" si="5"/>
        <v>39751844</v>
      </c>
      <c r="T22" s="422">
        <f t="shared" si="6"/>
        <v>0</v>
      </c>
      <c r="U22" s="411">
        <f t="shared" si="7"/>
        <v>0</v>
      </c>
    </row>
    <row r="23" spans="1:21" s="424" customFormat="1" ht="31.5" customHeight="1">
      <c r="A23" s="425" t="s">
        <v>443</v>
      </c>
      <c r="B23" s="425" t="s">
        <v>544</v>
      </c>
      <c r="C23" s="582">
        <f t="shared" si="2"/>
        <v>33768368</v>
      </c>
      <c r="D23" s="585">
        <v>33762968</v>
      </c>
      <c r="E23" s="582">
        <v>5400</v>
      </c>
      <c r="F23" s="582">
        <v>0</v>
      </c>
      <c r="G23" s="586"/>
      <c r="H23" s="582">
        <f t="shared" si="3"/>
        <v>33768368</v>
      </c>
      <c r="I23" s="582">
        <f t="shared" si="4"/>
        <v>33645147</v>
      </c>
      <c r="J23" s="582">
        <v>0</v>
      </c>
      <c r="K23" s="586"/>
      <c r="L23" s="586"/>
      <c r="M23" s="586">
        <f>19673859+5400</f>
        <v>19679259</v>
      </c>
      <c r="N23" s="587">
        <v>13965888</v>
      </c>
      <c r="O23" s="586"/>
      <c r="P23" s="586"/>
      <c r="Q23" s="586"/>
      <c r="R23" s="586">
        <f>7540+115681</f>
        <v>123221</v>
      </c>
      <c r="S23" s="481">
        <f t="shared" si="5"/>
        <v>33768368</v>
      </c>
      <c r="T23" s="422">
        <f t="shared" si="6"/>
        <v>0</v>
      </c>
      <c r="U23" s="411">
        <f t="shared" si="7"/>
        <v>0</v>
      </c>
    </row>
    <row r="24" spans="1:21" s="424" customFormat="1" ht="31.5" customHeight="1">
      <c r="A24" s="425" t="s">
        <v>445</v>
      </c>
      <c r="B24" s="425" t="s">
        <v>545</v>
      </c>
      <c r="C24" s="582">
        <f t="shared" si="2"/>
        <v>102594228</v>
      </c>
      <c r="D24" s="586">
        <v>102594228</v>
      </c>
      <c r="E24" s="582">
        <v>0</v>
      </c>
      <c r="F24" s="582">
        <v>0</v>
      </c>
      <c r="G24" s="586"/>
      <c r="H24" s="582">
        <f t="shared" si="3"/>
        <v>102594228</v>
      </c>
      <c r="I24" s="582">
        <f t="shared" si="4"/>
        <v>99828874</v>
      </c>
      <c r="J24" s="582">
        <v>0</v>
      </c>
      <c r="K24" s="586"/>
      <c r="L24" s="586"/>
      <c r="M24" s="586">
        <f>100046207-217333</f>
        <v>99828874</v>
      </c>
      <c r="N24" s="587"/>
      <c r="O24" s="586"/>
      <c r="P24" s="586"/>
      <c r="Q24" s="586"/>
      <c r="R24" s="586">
        <f>2548021+217333</f>
        <v>2765354</v>
      </c>
      <c r="S24" s="481">
        <f t="shared" si="5"/>
        <v>102594228</v>
      </c>
      <c r="T24" s="422">
        <f t="shared" si="6"/>
        <v>0</v>
      </c>
      <c r="U24" s="411">
        <f t="shared" si="7"/>
        <v>0</v>
      </c>
    </row>
    <row r="25" spans="1:21" s="424" customFormat="1" ht="31.5" customHeight="1">
      <c r="A25" s="425" t="s">
        <v>446</v>
      </c>
      <c r="B25" s="425" t="s">
        <v>448</v>
      </c>
      <c r="C25" s="581">
        <f>D25+E25</f>
        <v>481021662</v>
      </c>
      <c r="D25" s="582">
        <v>481021662</v>
      </c>
      <c r="E25" s="582">
        <v>0</v>
      </c>
      <c r="F25" s="582">
        <v>0</v>
      </c>
      <c r="G25" s="581"/>
      <c r="H25" s="581">
        <f>I25+R25</f>
        <v>481021662</v>
      </c>
      <c r="I25" s="581">
        <f>SUM(J25:Q25)</f>
        <v>81612511</v>
      </c>
      <c r="J25" s="582">
        <v>0</v>
      </c>
      <c r="K25" s="581">
        <v>0</v>
      </c>
      <c r="L25" s="583"/>
      <c r="M25" s="583">
        <v>81612511</v>
      </c>
      <c r="N25" s="584">
        <v>0</v>
      </c>
      <c r="O25" s="584">
        <v>0</v>
      </c>
      <c r="P25" s="584"/>
      <c r="Q25" s="584"/>
      <c r="R25" s="584">
        <v>399409151</v>
      </c>
      <c r="S25" s="481">
        <f t="shared" si="5"/>
        <v>481021662</v>
      </c>
      <c r="T25" s="422">
        <f t="shared" si="6"/>
        <v>0</v>
      </c>
      <c r="U25" s="411">
        <f t="shared" si="7"/>
        <v>0</v>
      </c>
    </row>
    <row r="26" spans="1:21" s="424" customFormat="1" ht="31.5" customHeight="1">
      <c r="A26" s="425" t="s">
        <v>447</v>
      </c>
      <c r="B26" s="425" t="s">
        <v>450</v>
      </c>
      <c r="C26" s="582">
        <f>D26+E26</f>
        <v>2657002</v>
      </c>
      <c r="D26" s="589">
        <v>2569533</v>
      </c>
      <c r="E26" s="582">
        <v>87469</v>
      </c>
      <c r="F26" s="582">
        <v>0</v>
      </c>
      <c r="G26" s="582"/>
      <c r="H26" s="582">
        <f>I26+R26</f>
        <v>2657002</v>
      </c>
      <c r="I26" s="582">
        <f>SUM(J26:Q26)</f>
        <v>2559385</v>
      </c>
      <c r="J26" s="582">
        <v>35803</v>
      </c>
      <c r="K26" s="582"/>
      <c r="L26" s="587"/>
      <c r="M26" s="587">
        <v>2523582</v>
      </c>
      <c r="N26" s="587"/>
      <c r="O26" s="590"/>
      <c r="P26" s="590"/>
      <c r="Q26" s="590"/>
      <c r="R26" s="590">
        <v>97617</v>
      </c>
      <c r="S26" s="481">
        <f t="shared" si="5"/>
        <v>2621199</v>
      </c>
      <c r="T26" s="422">
        <f t="shared" si="6"/>
        <v>1.3988907491448141</v>
      </c>
      <c r="U26" s="411">
        <f t="shared" si="7"/>
        <v>0</v>
      </c>
    </row>
    <row r="27" spans="1:21" s="424" customFormat="1" ht="31.5" customHeight="1">
      <c r="A27" s="425" t="s">
        <v>449</v>
      </c>
      <c r="B27" s="425" t="s">
        <v>452</v>
      </c>
      <c r="C27" s="582">
        <f t="shared" si="2"/>
        <v>24375175</v>
      </c>
      <c r="D27" s="585">
        <v>1278149</v>
      </c>
      <c r="E27" s="582">
        <v>23097026</v>
      </c>
      <c r="F27" s="582">
        <v>0</v>
      </c>
      <c r="G27" s="582"/>
      <c r="H27" s="582">
        <f t="shared" si="3"/>
        <v>24375175</v>
      </c>
      <c r="I27" s="582">
        <f t="shared" si="4"/>
        <v>24350175</v>
      </c>
      <c r="J27" s="582">
        <v>8246200</v>
      </c>
      <c r="K27" s="582"/>
      <c r="L27" s="587"/>
      <c r="M27" s="587">
        <v>16103975</v>
      </c>
      <c r="N27" s="587"/>
      <c r="O27" s="586"/>
      <c r="P27" s="586"/>
      <c r="Q27" s="586"/>
      <c r="R27" s="586">
        <v>25000</v>
      </c>
      <c r="S27" s="481">
        <f t="shared" si="5"/>
        <v>16128975</v>
      </c>
      <c r="T27" s="422">
        <f t="shared" si="6"/>
        <v>33.86505435792556</v>
      </c>
      <c r="U27" s="411">
        <f t="shared" si="7"/>
        <v>0</v>
      </c>
    </row>
    <row r="28" spans="1:21" s="424" customFormat="1" ht="31.5" customHeight="1">
      <c r="A28" s="425" t="s">
        <v>451</v>
      </c>
      <c r="B28" s="425" t="s">
        <v>454</v>
      </c>
      <c r="C28" s="582">
        <f t="shared" si="2"/>
        <v>5390913</v>
      </c>
      <c r="D28" s="582">
        <v>5325863</v>
      </c>
      <c r="E28" s="582">
        <v>65050</v>
      </c>
      <c r="F28" s="582">
        <v>0</v>
      </c>
      <c r="G28" s="582"/>
      <c r="H28" s="582">
        <f t="shared" si="3"/>
        <v>5390913</v>
      </c>
      <c r="I28" s="582">
        <f t="shared" si="4"/>
        <v>89250</v>
      </c>
      <c r="J28" s="582">
        <v>6050</v>
      </c>
      <c r="K28" s="582">
        <v>0</v>
      </c>
      <c r="L28" s="587">
        <v>0</v>
      </c>
      <c r="M28" s="587">
        <f>192494-116200-56094+4000+59000</f>
        <v>83200</v>
      </c>
      <c r="N28" s="587"/>
      <c r="O28" s="586"/>
      <c r="P28" s="586"/>
      <c r="Q28" s="586"/>
      <c r="R28" s="586">
        <f>5176064+69505+56094</f>
        <v>5301663</v>
      </c>
      <c r="S28" s="481">
        <f t="shared" si="5"/>
        <v>5384863</v>
      </c>
      <c r="T28" s="422">
        <f t="shared" si="6"/>
        <v>6.778711484593837</v>
      </c>
      <c r="U28" s="411">
        <f t="shared" si="7"/>
        <v>0</v>
      </c>
    </row>
    <row r="29" spans="1:21" s="424" customFormat="1" ht="31.5" customHeight="1">
      <c r="A29" s="425" t="s">
        <v>453</v>
      </c>
      <c r="B29" s="425" t="s">
        <v>553</v>
      </c>
      <c r="C29" s="582">
        <f t="shared" si="2"/>
        <v>2027076</v>
      </c>
      <c r="D29" s="582">
        <v>1926742</v>
      </c>
      <c r="E29" s="582">
        <v>100334</v>
      </c>
      <c r="F29" s="582">
        <v>0</v>
      </c>
      <c r="G29" s="582">
        <v>0</v>
      </c>
      <c r="H29" s="582">
        <f t="shared" si="3"/>
        <v>2027076</v>
      </c>
      <c r="I29" s="582">
        <f t="shared" si="4"/>
        <v>2027076</v>
      </c>
      <c r="J29" s="582">
        <v>90684</v>
      </c>
      <c r="K29" s="582">
        <v>0</v>
      </c>
      <c r="L29" s="587">
        <v>0</v>
      </c>
      <c r="M29" s="587">
        <v>1936392</v>
      </c>
      <c r="N29" s="587"/>
      <c r="O29" s="586"/>
      <c r="P29" s="586"/>
      <c r="Q29" s="586"/>
      <c r="R29" s="586">
        <v>0</v>
      </c>
      <c r="S29" s="481">
        <f t="shared" si="5"/>
        <v>1936392</v>
      </c>
      <c r="T29" s="422">
        <f t="shared" si="6"/>
        <v>4.473635916956247</v>
      </c>
      <c r="U29" s="411">
        <f t="shared" si="7"/>
        <v>0</v>
      </c>
    </row>
    <row r="30" spans="1:21" s="424" customFormat="1" ht="24" customHeight="1">
      <c r="A30" s="425" t="s">
        <v>583</v>
      </c>
      <c r="B30" s="425" t="s">
        <v>546</v>
      </c>
      <c r="C30" s="582">
        <f t="shared" si="2"/>
        <v>254826</v>
      </c>
      <c r="D30" s="588">
        <v>254826</v>
      </c>
      <c r="E30" s="582">
        <v>0</v>
      </c>
      <c r="F30" s="582">
        <v>0</v>
      </c>
      <c r="G30" s="582"/>
      <c r="H30" s="582">
        <f t="shared" si="3"/>
        <v>254826</v>
      </c>
      <c r="I30" s="582">
        <f t="shared" si="4"/>
        <v>22300</v>
      </c>
      <c r="J30" s="582">
        <v>0</v>
      </c>
      <c r="K30" s="582">
        <v>0</v>
      </c>
      <c r="L30" s="587"/>
      <c r="M30" s="587">
        <v>22300</v>
      </c>
      <c r="N30" s="587"/>
      <c r="O30" s="586"/>
      <c r="P30" s="586"/>
      <c r="Q30" s="586"/>
      <c r="R30" s="586">
        <v>232526</v>
      </c>
      <c r="S30" s="481">
        <f t="shared" si="5"/>
        <v>254826</v>
      </c>
      <c r="T30" s="422">
        <f t="shared" si="6"/>
        <v>0</v>
      </c>
      <c r="U30" s="411">
        <f t="shared" si="7"/>
        <v>0</v>
      </c>
    </row>
    <row r="31" spans="1:21" s="402" customFormat="1" ht="24" customHeight="1">
      <c r="A31" s="400" t="s">
        <v>1</v>
      </c>
      <c r="B31" s="403" t="s">
        <v>455</v>
      </c>
      <c r="C31" s="508">
        <f>C32+C38+C42+C45+C47+C55+C61+C68+C72+C76+C86+C89+C93+C104+C107</f>
        <v>2520048572</v>
      </c>
      <c r="D31" s="401">
        <f aca="true" t="shared" si="8" ref="D31:R31">D32+D38+D42+D45+D47+D55+D61+D68+D72+D76+D86+D89+D93+D104+D107</f>
        <v>2348629796</v>
      </c>
      <c r="E31" s="401">
        <f t="shared" si="8"/>
        <v>171418776</v>
      </c>
      <c r="F31" s="401">
        <f t="shared" si="8"/>
        <v>85037</v>
      </c>
      <c r="G31" s="401">
        <f t="shared" si="8"/>
        <v>0</v>
      </c>
      <c r="H31" s="508">
        <f t="shared" si="8"/>
        <v>2519963535</v>
      </c>
      <c r="I31" s="508">
        <f t="shared" si="8"/>
        <v>1411055774</v>
      </c>
      <c r="J31" s="401">
        <f t="shared" si="8"/>
        <v>43056747</v>
      </c>
      <c r="K31" s="401">
        <f t="shared" si="8"/>
        <v>5189991</v>
      </c>
      <c r="L31" s="401">
        <f t="shared" si="8"/>
        <v>5306</v>
      </c>
      <c r="M31" s="401">
        <f t="shared" si="8"/>
        <v>1348729589</v>
      </c>
      <c r="N31" s="401">
        <f t="shared" si="8"/>
        <v>1790929</v>
      </c>
      <c r="O31" s="401">
        <f t="shared" si="8"/>
        <v>9710</v>
      </c>
      <c r="P31" s="401">
        <f t="shared" si="8"/>
        <v>0</v>
      </c>
      <c r="Q31" s="401">
        <f t="shared" si="8"/>
        <v>12273502</v>
      </c>
      <c r="R31" s="508">
        <f t="shared" si="8"/>
        <v>1108907761</v>
      </c>
      <c r="S31" s="508">
        <f>M31+N31+O31+P31+Q31+R31</f>
        <v>2471711491</v>
      </c>
      <c r="T31" s="409">
        <f>(J31+K31+L31)/I31*100</f>
        <v>3.4195702883676375</v>
      </c>
      <c r="U31" s="405">
        <f>D31-2348629796</f>
        <v>0</v>
      </c>
    </row>
    <row r="32" spans="1:21" s="402" customFormat="1" ht="24" customHeight="1">
      <c r="A32" s="400">
        <v>1</v>
      </c>
      <c r="B32" s="404" t="s">
        <v>456</v>
      </c>
      <c r="C32" s="508">
        <f>SUM(C33:C37)</f>
        <v>332578476</v>
      </c>
      <c r="D32" s="401">
        <f aca="true" t="shared" si="9" ref="D32:R32">SUM(D33:D37)</f>
        <v>323063545</v>
      </c>
      <c r="E32" s="401">
        <f t="shared" si="9"/>
        <v>9514931</v>
      </c>
      <c r="F32" s="401">
        <f t="shared" si="9"/>
        <v>0</v>
      </c>
      <c r="G32" s="401">
        <f t="shared" si="9"/>
        <v>0</v>
      </c>
      <c r="H32" s="508">
        <f t="shared" si="9"/>
        <v>332578476</v>
      </c>
      <c r="I32" s="508">
        <f t="shared" si="9"/>
        <v>251630899</v>
      </c>
      <c r="J32" s="401">
        <f t="shared" si="9"/>
        <v>1249061</v>
      </c>
      <c r="K32" s="401">
        <f t="shared" si="9"/>
        <v>2350</v>
      </c>
      <c r="L32" s="401">
        <f t="shared" si="9"/>
        <v>0</v>
      </c>
      <c r="M32" s="401">
        <f t="shared" si="9"/>
        <v>249868063</v>
      </c>
      <c r="N32" s="401">
        <f t="shared" si="9"/>
        <v>511425</v>
      </c>
      <c r="O32" s="401">
        <f t="shared" si="9"/>
        <v>0</v>
      </c>
      <c r="P32" s="401">
        <f t="shared" si="9"/>
        <v>0</v>
      </c>
      <c r="Q32" s="401">
        <f t="shared" si="9"/>
        <v>0</v>
      </c>
      <c r="R32" s="508">
        <f t="shared" si="9"/>
        <v>80947577</v>
      </c>
      <c r="S32" s="508">
        <f>M32+N32+O32+P32+Q32+R32</f>
        <v>331327065</v>
      </c>
      <c r="T32" s="409">
        <f>(J32+K32+L32)/I32*100</f>
        <v>0.49732008468483035</v>
      </c>
      <c r="U32" s="405">
        <f t="shared" si="7"/>
        <v>0</v>
      </c>
    </row>
    <row r="33" spans="1:21" s="424" customFormat="1" ht="24" customHeight="1">
      <c r="A33" s="423">
        <v>1.1</v>
      </c>
      <c r="B33" s="428" t="s">
        <v>577</v>
      </c>
      <c r="C33" s="482">
        <f>SUM(E33+D33)</f>
        <v>122130062</v>
      </c>
      <c r="D33" s="430">
        <v>121768155</v>
      </c>
      <c r="E33" s="430">
        <v>361907</v>
      </c>
      <c r="F33" s="430">
        <v>0</v>
      </c>
      <c r="G33" s="430">
        <v>0</v>
      </c>
      <c r="H33" s="482">
        <f>SUM(I33+R33)</f>
        <v>122130062</v>
      </c>
      <c r="I33" s="482">
        <f>SUM(J33+K33+L33+M33+N33+O33+P33+Q33)</f>
        <v>118855317</v>
      </c>
      <c r="J33" s="430">
        <v>13381</v>
      </c>
      <c r="K33" s="430">
        <v>0</v>
      </c>
      <c r="L33" s="430">
        <v>0</v>
      </c>
      <c r="M33" s="430">
        <v>118841936</v>
      </c>
      <c r="N33" s="430">
        <v>0</v>
      </c>
      <c r="O33" s="430">
        <v>0</v>
      </c>
      <c r="P33" s="430">
        <v>0</v>
      </c>
      <c r="Q33" s="430">
        <v>0</v>
      </c>
      <c r="R33" s="483">
        <v>3274745</v>
      </c>
      <c r="S33" s="481">
        <f aca="true" t="shared" si="10" ref="S33:S96">M33+N33+O33+P33+Q33+R33</f>
        <v>122116681</v>
      </c>
      <c r="T33" s="422">
        <f aca="true" t="shared" si="11" ref="T33:T96">(J33+K33+L33)/I33*100</f>
        <v>0.0112582258309908</v>
      </c>
      <c r="U33" s="411">
        <f t="shared" si="7"/>
        <v>0</v>
      </c>
    </row>
    <row r="34" spans="1:21" s="424" customFormat="1" ht="24" customHeight="1">
      <c r="A34" s="423">
        <v>1.2</v>
      </c>
      <c r="B34" s="428" t="s">
        <v>547</v>
      </c>
      <c r="C34" s="482">
        <f>SUM(E34+D34)</f>
        <v>122593764</v>
      </c>
      <c r="D34" s="430">
        <v>116610405</v>
      </c>
      <c r="E34" s="430">
        <v>5983359</v>
      </c>
      <c r="F34" s="430">
        <v>0</v>
      </c>
      <c r="G34" s="430"/>
      <c r="H34" s="482">
        <f>SUM(I34+R34)</f>
        <v>122593764</v>
      </c>
      <c r="I34" s="482">
        <f>SUM(J34+K34+L34+M34+N34+O34+P34+Q34)</f>
        <v>77536259</v>
      </c>
      <c r="J34" s="430">
        <v>366218</v>
      </c>
      <c r="K34" s="430">
        <v>0</v>
      </c>
      <c r="L34" s="430">
        <v>0</v>
      </c>
      <c r="M34" s="430">
        <v>76658616</v>
      </c>
      <c r="N34" s="430">
        <v>511425</v>
      </c>
      <c r="O34" s="430"/>
      <c r="P34" s="430"/>
      <c r="Q34" s="430">
        <v>0</v>
      </c>
      <c r="R34" s="483">
        <v>45057505</v>
      </c>
      <c r="S34" s="481">
        <f t="shared" si="10"/>
        <v>122227546</v>
      </c>
      <c r="T34" s="422">
        <f t="shared" si="11"/>
        <v>0.47231837687706857</v>
      </c>
      <c r="U34" s="411">
        <f t="shared" si="7"/>
        <v>0</v>
      </c>
    </row>
    <row r="35" spans="1:21" s="424" customFormat="1" ht="24" customHeight="1">
      <c r="A35" s="423">
        <v>1.3</v>
      </c>
      <c r="B35" s="428" t="s">
        <v>457</v>
      </c>
      <c r="C35" s="482">
        <f>SUM(E35+D35)</f>
        <v>17733871</v>
      </c>
      <c r="D35" s="430">
        <v>17666614</v>
      </c>
      <c r="E35" s="430">
        <v>67257</v>
      </c>
      <c r="F35" s="430">
        <v>0</v>
      </c>
      <c r="G35" s="430"/>
      <c r="H35" s="482">
        <f>SUM(I35+R35)</f>
        <v>17733871</v>
      </c>
      <c r="I35" s="482">
        <f>SUM(J35+K35+L35+M35+N35+O35+P35+Q35)</f>
        <v>16789807</v>
      </c>
      <c r="J35" s="430">
        <v>21138</v>
      </c>
      <c r="K35" s="430">
        <v>0</v>
      </c>
      <c r="L35" s="430">
        <v>0</v>
      </c>
      <c r="M35" s="430">
        <v>16768669</v>
      </c>
      <c r="N35" s="430">
        <v>0</v>
      </c>
      <c r="O35" s="430"/>
      <c r="P35" s="430"/>
      <c r="Q35" s="430"/>
      <c r="R35" s="483">
        <v>944064</v>
      </c>
      <c r="S35" s="481">
        <f t="shared" si="10"/>
        <v>17712733</v>
      </c>
      <c r="T35" s="422">
        <f t="shared" si="11"/>
        <v>0.1258978140725501</v>
      </c>
      <c r="U35" s="411">
        <f t="shared" si="7"/>
        <v>0</v>
      </c>
    </row>
    <row r="36" spans="1:21" s="424" customFormat="1" ht="24" customHeight="1">
      <c r="A36" s="423">
        <v>1.4</v>
      </c>
      <c r="B36" s="428" t="s">
        <v>548</v>
      </c>
      <c r="C36" s="482">
        <f>SUM(E36+D36)</f>
        <v>20104761</v>
      </c>
      <c r="D36" s="430">
        <v>17052876</v>
      </c>
      <c r="E36" s="430">
        <v>3051885</v>
      </c>
      <c r="F36" s="430">
        <v>0</v>
      </c>
      <c r="G36" s="430"/>
      <c r="H36" s="482">
        <f>SUM(I36+R36)</f>
        <v>20104761</v>
      </c>
      <c r="I36" s="482">
        <f>SUM(J36+K36+L36+M36+N36+O36+P36+Q36)</f>
        <v>6562985</v>
      </c>
      <c r="J36" s="430">
        <v>128317</v>
      </c>
      <c r="K36" s="430">
        <v>0</v>
      </c>
      <c r="L36" s="430">
        <v>0</v>
      </c>
      <c r="M36" s="430">
        <v>6434668</v>
      </c>
      <c r="N36" s="430">
        <v>0</v>
      </c>
      <c r="O36" s="430"/>
      <c r="P36" s="430"/>
      <c r="Q36" s="430"/>
      <c r="R36" s="483">
        <v>13541776</v>
      </c>
      <c r="S36" s="481">
        <f t="shared" si="10"/>
        <v>19976444</v>
      </c>
      <c r="T36" s="422">
        <f t="shared" si="11"/>
        <v>1.955162170871943</v>
      </c>
      <c r="U36" s="411">
        <f t="shared" si="7"/>
        <v>0</v>
      </c>
    </row>
    <row r="37" spans="1:21" s="424" customFormat="1" ht="24" customHeight="1">
      <c r="A37" s="423">
        <v>1.5</v>
      </c>
      <c r="B37" s="428" t="s">
        <v>518</v>
      </c>
      <c r="C37" s="482">
        <f>SUM(E37+D37)</f>
        <v>50016018</v>
      </c>
      <c r="D37" s="430">
        <v>49965495</v>
      </c>
      <c r="E37" s="430">
        <v>50523</v>
      </c>
      <c r="F37" s="430">
        <v>0</v>
      </c>
      <c r="G37" s="430"/>
      <c r="H37" s="482">
        <f>SUM(I37+R37)</f>
        <v>50016018</v>
      </c>
      <c r="I37" s="482">
        <f>SUM(J37+K37+L37+M37+N37+O37+P37+Q37)</f>
        <v>31886531</v>
      </c>
      <c r="J37" s="430">
        <v>720007</v>
      </c>
      <c r="K37" s="430">
        <v>2350</v>
      </c>
      <c r="L37" s="430">
        <v>0</v>
      </c>
      <c r="M37" s="430">
        <v>31164174</v>
      </c>
      <c r="N37" s="430">
        <v>0</v>
      </c>
      <c r="O37" s="430"/>
      <c r="P37" s="430"/>
      <c r="Q37" s="430"/>
      <c r="R37" s="483">
        <v>18129487</v>
      </c>
      <c r="S37" s="481">
        <f t="shared" si="10"/>
        <v>49293661</v>
      </c>
      <c r="T37" s="422">
        <f t="shared" si="11"/>
        <v>2.265398515755759</v>
      </c>
      <c r="U37" s="411">
        <f t="shared" si="7"/>
        <v>0</v>
      </c>
    </row>
    <row r="38" spans="1:21" s="402" customFormat="1" ht="24" customHeight="1">
      <c r="A38" s="400">
        <v>2</v>
      </c>
      <c r="B38" s="404" t="s">
        <v>458</v>
      </c>
      <c r="C38" s="508">
        <f>SUM(C39:C41)</f>
        <v>58359119</v>
      </c>
      <c r="D38" s="401">
        <f aca="true" t="shared" si="12" ref="D38:R38">SUM(D39:D41)</f>
        <v>57165074</v>
      </c>
      <c r="E38" s="401">
        <f t="shared" si="12"/>
        <v>1194045</v>
      </c>
      <c r="F38" s="401">
        <f t="shared" si="12"/>
        <v>0</v>
      </c>
      <c r="G38" s="401">
        <f t="shared" si="12"/>
        <v>0</v>
      </c>
      <c r="H38" s="508">
        <f t="shared" si="12"/>
        <v>58359119</v>
      </c>
      <c r="I38" s="508">
        <f t="shared" si="12"/>
        <v>16571983</v>
      </c>
      <c r="J38" s="401">
        <f t="shared" si="12"/>
        <v>254434</v>
      </c>
      <c r="K38" s="401">
        <f t="shared" si="12"/>
        <v>42677</v>
      </c>
      <c r="L38" s="401">
        <f t="shared" si="12"/>
        <v>5306</v>
      </c>
      <c r="M38" s="401">
        <f t="shared" si="12"/>
        <v>15747726</v>
      </c>
      <c r="N38" s="401">
        <f t="shared" si="12"/>
        <v>0</v>
      </c>
      <c r="O38" s="401">
        <f t="shared" si="12"/>
        <v>0</v>
      </c>
      <c r="P38" s="401">
        <f t="shared" si="12"/>
        <v>0</v>
      </c>
      <c r="Q38" s="401">
        <f t="shared" si="12"/>
        <v>521840</v>
      </c>
      <c r="R38" s="508">
        <f t="shared" si="12"/>
        <v>41787136</v>
      </c>
      <c r="S38" s="508">
        <f t="shared" si="10"/>
        <v>58056702</v>
      </c>
      <c r="T38" s="409">
        <f t="shared" si="11"/>
        <v>1.8248691179564933</v>
      </c>
      <c r="U38" s="405">
        <f t="shared" si="7"/>
        <v>0</v>
      </c>
    </row>
    <row r="39" spans="1:21" s="424" customFormat="1" ht="24" customHeight="1">
      <c r="A39" s="423">
        <v>2.1</v>
      </c>
      <c r="B39" s="431" t="s">
        <v>459</v>
      </c>
      <c r="C39" s="483">
        <f>D39+E39</f>
        <v>495706</v>
      </c>
      <c r="D39" s="430">
        <v>339640</v>
      </c>
      <c r="E39" s="430">
        <v>156066</v>
      </c>
      <c r="F39" s="430">
        <f>C39-H39</f>
        <v>0</v>
      </c>
      <c r="G39" s="430"/>
      <c r="H39" s="483">
        <f>I39+R39</f>
        <v>495706</v>
      </c>
      <c r="I39" s="483">
        <f>J39+K39+L39+M39+N39+O39+P39+Q39</f>
        <v>319125</v>
      </c>
      <c r="J39" s="430">
        <v>151766</v>
      </c>
      <c r="K39" s="430">
        <v>0</v>
      </c>
      <c r="L39" s="430">
        <v>0</v>
      </c>
      <c r="M39" s="430">
        <v>167359</v>
      </c>
      <c r="N39" s="430"/>
      <c r="O39" s="430"/>
      <c r="P39" s="430"/>
      <c r="Q39" s="432"/>
      <c r="R39" s="488">
        <v>176581</v>
      </c>
      <c r="S39" s="481">
        <f t="shared" si="10"/>
        <v>343940</v>
      </c>
      <c r="T39" s="422">
        <f t="shared" si="11"/>
        <v>47.5569134351743</v>
      </c>
      <c r="U39" s="411">
        <f t="shared" si="7"/>
        <v>0</v>
      </c>
    </row>
    <row r="40" spans="1:21" s="424" customFormat="1" ht="24" customHeight="1">
      <c r="A40" s="423">
        <v>2.2</v>
      </c>
      <c r="B40" s="431" t="s">
        <v>460</v>
      </c>
      <c r="C40" s="483">
        <f>D40+E40</f>
        <v>10416499</v>
      </c>
      <c r="D40" s="430">
        <v>10300204</v>
      </c>
      <c r="E40" s="430">
        <v>116295</v>
      </c>
      <c r="F40" s="430">
        <f>C40-H40</f>
        <v>0</v>
      </c>
      <c r="G40" s="430"/>
      <c r="H40" s="483">
        <f>I40+R40</f>
        <v>10416499</v>
      </c>
      <c r="I40" s="483">
        <f>J40+K40+L40+M40+N40+O40+P40+Q40</f>
        <v>8381450</v>
      </c>
      <c r="J40" s="430">
        <v>85418</v>
      </c>
      <c r="K40" s="430">
        <v>3130</v>
      </c>
      <c r="L40" s="430">
        <v>5306</v>
      </c>
      <c r="M40" s="430">
        <v>8287596</v>
      </c>
      <c r="N40" s="430"/>
      <c r="O40" s="430"/>
      <c r="P40" s="430"/>
      <c r="Q40" s="432">
        <v>0</v>
      </c>
      <c r="R40" s="488">
        <v>2035049</v>
      </c>
      <c r="S40" s="481">
        <f t="shared" si="10"/>
        <v>10322645</v>
      </c>
      <c r="T40" s="422">
        <f t="shared" si="11"/>
        <v>1.1197823765577555</v>
      </c>
      <c r="U40" s="411">
        <f t="shared" si="7"/>
        <v>0</v>
      </c>
    </row>
    <row r="41" spans="1:21" s="424" customFormat="1" ht="24" customHeight="1">
      <c r="A41" s="423">
        <v>2.3</v>
      </c>
      <c r="B41" s="431" t="s">
        <v>461</v>
      </c>
      <c r="C41" s="483">
        <f>D41+E41</f>
        <v>47446914</v>
      </c>
      <c r="D41" s="430">
        <v>46525230</v>
      </c>
      <c r="E41" s="430">
        <v>921684</v>
      </c>
      <c r="F41" s="430"/>
      <c r="G41" s="430"/>
      <c r="H41" s="483">
        <f>I41+R41</f>
        <v>47446914</v>
      </c>
      <c r="I41" s="483">
        <f>J41+K41+L41+M41+N41+O41+P41+Q41</f>
        <v>7871408</v>
      </c>
      <c r="J41" s="430">
        <v>17250</v>
      </c>
      <c r="K41" s="430">
        <v>39547</v>
      </c>
      <c r="L41" s="430">
        <v>0</v>
      </c>
      <c r="M41" s="430">
        <v>7292771</v>
      </c>
      <c r="N41" s="430"/>
      <c r="O41" s="430"/>
      <c r="P41" s="430"/>
      <c r="Q41" s="432">
        <v>521840</v>
      </c>
      <c r="R41" s="488">
        <v>39575506</v>
      </c>
      <c r="S41" s="481">
        <f t="shared" si="10"/>
        <v>47390117</v>
      </c>
      <c r="T41" s="422">
        <f t="shared" si="11"/>
        <v>0.7215608694149763</v>
      </c>
      <c r="U41" s="411">
        <f t="shared" si="7"/>
        <v>0</v>
      </c>
    </row>
    <row r="42" spans="1:21" s="402" customFormat="1" ht="24" customHeight="1">
      <c r="A42" s="400">
        <v>3</v>
      </c>
      <c r="B42" s="404" t="s">
        <v>463</v>
      </c>
      <c r="C42" s="508">
        <f>C43+C44</f>
        <v>27890452</v>
      </c>
      <c r="D42" s="401">
        <f aca="true" t="shared" si="13" ref="D42:R42">D43+D44</f>
        <v>16282096</v>
      </c>
      <c r="E42" s="401">
        <f t="shared" si="13"/>
        <v>11608356</v>
      </c>
      <c r="F42" s="401">
        <f t="shared" si="13"/>
        <v>0</v>
      </c>
      <c r="G42" s="401">
        <f t="shared" si="13"/>
        <v>0</v>
      </c>
      <c r="H42" s="508">
        <f t="shared" si="13"/>
        <v>27890452</v>
      </c>
      <c r="I42" s="508">
        <f t="shared" si="13"/>
        <v>25566780</v>
      </c>
      <c r="J42" s="401">
        <f t="shared" si="13"/>
        <v>10671</v>
      </c>
      <c r="K42" s="401">
        <f t="shared" si="13"/>
        <v>0</v>
      </c>
      <c r="L42" s="401">
        <f t="shared" si="13"/>
        <v>0</v>
      </c>
      <c r="M42" s="401">
        <f t="shared" si="13"/>
        <v>25482997</v>
      </c>
      <c r="N42" s="401">
        <f t="shared" si="13"/>
        <v>0</v>
      </c>
      <c r="O42" s="401">
        <f t="shared" si="13"/>
        <v>0</v>
      </c>
      <c r="P42" s="401">
        <f t="shared" si="13"/>
        <v>0</v>
      </c>
      <c r="Q42" s="401">
        <f t="shared" si="13"/>
        <v>73112</v>
      </c>
      <c r="R42" s="508">
        <f t="shared" si="13"/>
        <v>2323672</v>
      </c>
      <c r="S42" s="508">
        <f t="shared" si="10"/>
        <v>27879781</v>
      </c>
      <c r="T42" s="409">
        <f t="shared" si="11"/>
        <v>0.041737755008647945</v>
      </c>
      <c r="U42" s="405">
        <f>D42-16282096</f>
        <v>0</v>
      </c>
    </row>
    <row r="43" spans="1:21" s="424" customFormat="1" ht="24" customHeight="1">
      <c r="A43" s="423">
        <v>3.1</v>
      </c>
      <c r="B43" s="426" t="s">
        <v>464</v>
      </c>
      <c r="C43" s="484">
        <f>D43+E43</f>
        <v>22296947</v>
      </c>
      <c r="D43" s="434">
        <v>10693791</v>
      </c>
      <c r="E43" s="434">
        <v>11603156</v>
      </c>
      <c r="F43" s="434">
        <v>0</v>
      </c>
      <c r="G43" s="434"/>
      <c r="H43" s="484">
        <f>I43+R43</f>
        <v>22296947</v>
      </c>
      <c r="I43" s="484">
        <f>SUM(J43:Q43)</f>
        <v>22013826</v>
      </c>
      <c r="J43" s="434">
        <v>8921</v>
      </c>
      <c r="K43" s="434">
        <v>0</v>
      </c>
      <c r="L43" s="434"/>
      <c r="M43" s="434">
        <v>21931793</v>
      </c>
      <c r="N43" s="434"/>
      <c r="O43" s="434">
        <v>0</v>
      </c>
      <c r="P43" s="434"/>
      <c r="Q43" s="434">
        <v>73112</v>
      </c>
      <c r="R43" s="498">
        <v>283121</v>
      </c>
      <c r="S43" s="481">
        <f t="shared" si="10"/>
        <v>22288026</v>
      </c>
      <c r="T43" s="422">
        <f t="shared" si="11"/>
        <v>0.04052453217355311</v>
      </c>
      <c r="U43" s="411">
        <f t="shared" si="7"/>
        <v>0</v>
      </c>
    </row>
    <row r="44" spans="1:21" s="424" customFormat="1" ht="24" customHeight="1">
      <c r="A44" s="423">
        <v>3.2</v>
      </c>
      <c r="B44" s="426" t="s">
        <v>465</v>
      </c>
      <c r="C44" s="484">
        <f>D44+E44</f>
        <v>5593505</v>
      </c>
      <c r="D44" s="434">
        <f>5617912-29607</f>
        <v>5588305</v>
      </c>
      <c r="E44" s="434">
        <v>5200</v>
      </c>
      <c r="F44" s="434">
        <v>0</v>
      </c>
      <c r="G44" s="434"/>
      <c r="H44" s="484">
        <f>I44+R44</f>
        <v>5593505</v>
      </c>
      <c r="I44" s="484">
        <f>SUM(J44:Q44)</f>
        <v>3552954</v>
      </c>
      <c r="J44" s="434">
        <v>1750</v>
      </c>
      <c r="K44" s="434">
        <v>0</v>
      </c>
      <c r="L44" s="434">
        <v>0</v>
      </c>
      <c r="M44" s="434">
        <f>3580811-29607</f>
        <v>3551204</v>
      </c>
      <c r="N44" s="434">
        <v>0</v>
      </c>
      <c r="O44" s="434">
        <v>0</v>
      </c>
      <c r="P44" s="434">
        <v>0</v>
      </c>
      <c r="Q44" s="434">
        <v>0</v>
      </c>
      <c r="R44" s="498">
        <v>2040551</v>
      </c>
      <c r="S44" s="481">
        <f t="shared" si="10"/>
        <v>5591755</v>
      </c>
      <c r="T44" s="422">
        <f t="shared" si="11"/>
        <v>0.049254789113509494</v>
      </c>
      <c r="U44" s="411">
        <f t="shared" si="7"/>
        <v>0</v>
      </c>
    </row>
    <row r="45" spans="1:21" s="402" customFormat="1" ht="24" customHeight="1">
      <c r="A45" s="400">
        <v>4</v>
      </c>
      <c r="B45" s="404" t="s">
        <v>467</v>
      </c>
      <c r="C45" s="508">
        <f>C46</f>
        <v>300</v>
      </c>
      <c r="D45" s="401">
        <f aca="true" t="shared" si="14" ref="D45:R45">D46</f>
        <v>0</v>
      </c>
      <c r="E45" s="401">
        <f t="shared" si="14"/>
        <v>300</v>
      </c>
      <c r="F45" s="401">
        <f t="shared" si="14"/>
        <v>0</v>
      </c>
      <c r="G45" s="401">
        <f t="shared" si="14"/>
        <v>0</v>
      </c>
      <c r="H45" s="508">
        <f t="shared" si="14"/>
        <v>300</v>
      </c>
      <c r="I45" s="508">
        <f t="shared" si="14"/>
        <v>300</v>
      </c>
      <c r="J45" s="401">
        <f t="shared" si="14"/>
        <v>300</v>
      </c>
      <c r="K45" s="401">
        <f t="shared" si="14"/>
        <v>0</v>
      </c>
      <c r="L45" s="401">
        <f t="shared" si="14"/>
        <v>0</v>
      </c>
      <c r="M45" s="401">
        <f t="shared" si="14"/>
        <v>0</v>
      </c>
      <c r="N45" s="401">
        <f t="shared" si="14"/>
        <v>0</v>
      </c>
      <c r="O45" s="401">
        <f t="shared" si="14"/>
        <v>0</v>
      </c>
      <c r="P45" s="401">
        <f t="shared" si="14"/>
        <v>0</v>
      </c>
      <c r="Q45" s="401">
        <f t="shared" si="14"/>
        <v>0</v>
      </c>
      <c r="R45" s="508">
        <f t="shared" si="14"/>
        <v>0</v>
      </c>
      <c r="S45" s="508">
        <f t="shared" si="10"/>
        <v>0</v>
      </c>
      <c r="T45" s="409">
        <f t="shared" si="11"/>
        <v>100</v>
      </c>
      <c r="U45" s="405">
        <f t="shared" si="7"/>
        <v>0</v>
      </c>
    </row>
    <row r="46" spans="1:21" s="424" customFormat="1" ht="24" customHeight="1">
      <c r="A46" s="423" t="s">
        <v>111</v>
      </c>
      <c r="B46" s="427" t="s">
        <v>468</v>
      </c>
      <c r="C46" s="481">
        <f>D46+E46</f>
        <v>300</v>
      </c>
      <c r="D46" s="421"/>
      <c r="E46" s="421">
        <v>300</v>
      </c>
      <c r="F46" s="421"/>
      <c r="G46" s="421"/>
      <c r="H46" s="481">
        <f>I46+R46</f>
        <v>300</v>
      </c>
      <c r="I46" s="481">
        <f>SUM(J46:Q46)</f>
        <v>300</v>
      </c>
      <c r="J46" s="421">
        <v>300</v>
      </c>
      <c r="K46" s="421"/>
      <c r="L46" s="435"/>
      <c r="M46" s="435"/>
      <c r="N46" s="435"/>
      <c r="O46" s="436"/>
      <c r="P46" s="436"/>
      <c r="Q46" s="436"/>
      <c r="R46" s="499"/>
      <c r="S46" s="481">
        <f t="shared" si="10"/>
        <v>0</v>
      </c>
      <c r="T46" s="422">
        <f t="shared" si="11"/>
        <v>100</v>
      </c>
      <c r="U46" s="411">
        <f t="shared" si="7"/>
        <v>0</v>
      </c>
    </row>
    <row r="47" spans="1:21" s="402" customFormat="1" ht="24" customHeight="1">
      <c r="A47" s="400">
        <v>5</v>
      </c>
      <c r="B47" s="404" t="s">
        <v>469</v>
      </c>
      <c r="C47" s="508">
        <f>SUM(C48:C54)</f>
        <v>489807588</v>
      </c>
      <c r="D47" s="401">
        <f aca="true" t="shared" si="15" ref="D47:R47">SUM(D48:D54)</f>
        <v>488927313</v>
      </c>
      <c r="E47" s="401">
        <f t="shared" si="15"/>
        <v>880275</v>
      </c>
      <c r="F47" s="401">
        <f t="shared" si="15"/>
        <v>0</v>
      </c>
      <c r="G47" s="401">
        <f t="shared" si="15"/>
        <v>0</v>
      </c>
      <c r="H47" s="508">
        <f t="shared" si="15"/>
        <v>489807588</v>
      </c>
      <c r="I47" s="508">
        <f t="shared" si="15"/>
        <v>159200425</v>
      </c>
      <c r="J47" s="401">
        <f t="shared" si="15"/>
        <v>17691688</v>
      </c>
      <c r="K47" s="401">
        <f t="shared" si="15"/>
        <v>0</v>
      </c>
      <c r="L47" s="401">
        <f t="shared" si="15"/>
        <v>0</v>
      </c>
      <c r="M47" s="401">
        <f t="shared" si="15"/>
        <v>141496737</v>
      </c>
      <c r="N47" s="401">
        <f t="shared" si="15"/>
        <v>0</v>
      </c>
      <c r="O47" s="401">
        <f t="shared" si="15"/>
        <v>0</v>
      </c>
      <c r="P47" s="401">
        <f t="shared" si="15"/>
        <v>0</v>
      </c>
      <c r="Q47" s="401">
        <f t="shared" si="15"/>
        <v>12000</v>
      </c>
      <c r="R47" s="508">
        <f t="shared" si="15"/>
        <v>330607163</v>
      </c>
      <c r="S47" s="508">
        <f t="shared" si="10"/>
        <v>472115900</v>
      </c>
      <c r="T47" s="409">
        <f t="shared" si="11"/>
        <v>11.112839679919198</v>
      </c>
      <c r="U47" s="405">
        <f t="shared" si="7"/>
        <v>0</v>
      </c>
    </row>
    <row r="48" spans="1:21" s="424" customFormat="1" ht="24" customHeight="1">
      <c r="A48" s="437" t="s">
        <v>112</v>
      </c>
      <c r="B48" s="438" t="s">
        <v>470</v>
      </c>
      <c r="C48" s="485">
        <v>1309503</v>
      </c>
      <c r="D48" s="440">
        <v>1308403</v>
      </c>
      <c r="E48" s="439">
        <v>1100</v>
      </c>
      <c r="F48" s="439">
        <v>0</v>
      </c>
      <c r="G48" s="439">
        <v>0</v>
      </c>
      <c r="H48" s="485">
        <v>1309503</v>
      </c>
      <c r="I48" s="485">
        <v>65020</v>
      </c>
      <c r="J48" s="439">
        <v>1100</v>
      </c>
      <c r="K48" s="439">
        <v>0</v>
      </c>
      <c r="L48" s="439">
        <v>0</v>
      </c>
      <c r="M48" s="441">
        <v>63920</v>
      </c>
      <c r="N48" s="439">
        <v>0</v>
      </c>
      <c r="O48" s="439">
        <v>0</v>
      </c>
      <c r="P48" s="439">
        <v>0</v>
      </c>
      <c r="Q48" s="442">
        <v>0</v>
      </c>
      <c r="R48" s="500">
        <v>1244483</v>
      </c>
      <c r="S48" s="481">
        <f t="shared" si="10"/>
        <v>1308403</v>
      </c>
      <c r="T48" s="422">
        <f t="shared" si="11"/>
        <v>1.6917871424177178</v>
      </c>
      <c r="U48" s="411">
        <f t="shared" si="7"/>
        <v>0</v>
      </c>
    </row>
    <row r="49" spans="1:21" s="424" customFormat="1" ht="24" customHeight="1">
      <c r="A49" s="437" t="s">
        <v>113</v>
      </c>
      <c r="B49" s="438" t="s">
        <v>471</v>
      </c>
      <c r="C49" s="485">
        <v>284713339</v>
      </c>
      <c r="D49" s="440">
        <v>284485551</v>
      </c>
      <c r="E49" s="439">
        <v>227788</v>
      </c>
      <c r="F49" s="439">
        <v>0</v>
      </c>
      <c r="G49" s="439">
        <v>0</v>
      </c>
      <c r="H49" s="485">
        <v>284713339</v>
      </c>
      <c r="I49" s="485">
        <v>50802175</v>
      </c>
      <c r="J49" s="439">
        <v>17486680</v>
      </c>
      <c r="K49" s="439">
        <v>0</v>
      </c>
      <c r="L49" s="439">
        <v>0</v>
      </c>
      <c r="M49" s="441">
        <v>33303495</v>
      </c>
      <c r="N49" s="439">
        <v>0</v>
      </c>
      <c r="O49" s="439">
        <v>0</v>
      </c>
      <c r="P49" s="439">
        <v>0</v>
      </c>
      <c r="Q49" s="442">
        <v>12000</v>
      </c>
      <c r="R49" s="500">
        <v>233911164</v>
      </c>
      <c r="S49" s="481">
        <f t="shared" si="10"/>
        <v>267226659</v>
      </c>
      <c r="T49" s="422">
        <f t="shared" si="11"/>
        <v>34.42112468609857</v>
      </c>
      <c r="U49" s="411">
        <f t="shared" si="7"/>
        <v>0</v>
      </c>
    </row>
    <row r="50" spans="1:21" s="424" customFormat="1" ht="24" customHeight="1">
      <c r="A50" s="437" t="s">
        <v>114</v>
      </c>
      <c r="B50" s="438" t="s">
        <v>549</v>
      </c>
      <c r="C50" s="485">
        <v>48398411</v>
      </c>
      <c r="D50" s="440">
        <v>48387681</v>
      </c>
      <c r="E50" s="439">
        <v>10730</v>
      </c>
      <c r="F50" s="439">
        <v>0</v>
      </c>
      <c r="G50" s="439">
        <v>0</v>
      </c>
      <c r="H50" s="485">
        <v>48398411</v>
      </c>
      <c r="I50" s="485">
        <v>23889711</v>
      </c>
      <c r="J50" s="439">
        <v>60870</v>
      </c>
      <c r="K50" s="439">
        <v>0</v>
      </c>
      <c r="L50" s="439">
        <v>0</v>
      </c>
      <c r="M50" s="441">
        <v>23828841</v>
      </c>
      <c r="N50" s="439">
        <v>0</v>
      </c>
      <c r="O50" s="439">
        <v>0</v>
      </c>
      <c r="P50" s="439">
        <v>0</v>
      </c>
      <c r="Q50" s="442">
        <v>0</v>
      </c>
      <c r="R50" s="500">
        <v>24508700</v>
      </c>
      <c r="S50" s="481">
        <f t="shared" si="10"/>
        <v>48337541</v>
      </c>
      <c r="T50" s="422">
        <f t="shared" si="11"/>
        <v>0.2547958826291369</v>
      </c>
      <c r="U50" s="411">
        <f t="shared" si="7"/>
        <v>0</v>
      </c>
    </row>
    <row r="51" spans="1:21" s="424" customFormat="1" ht="24" customHeight="1">
      <c r="A51" s="437" t="s">
        <v>473</v>
      </c>
      <c r="B51" s="438" t="s">
        <v>474</v>
      </c>
      <c r="C51" s="485">
        <v>14567751</v>
      </c>
      <c r="D51" s="440">
        <v>14039043</v>
      </c>
      <c r="E51" s="439">
        <v>528708</v>
      </c>
      <c r="F51" s="439">
        <v>0</v>
      </c>
      <c r="G51" s="439">
        <v>0</v>
      </c>
      <c r="H51" s="485">
        <v>14567751</v>
      </c>
      <c r="I51" s="485">
        <v>3985925</v>
      </c>
      <c r="J51" s="439">
        <v>2618</v>
      </c>
      <c r="K51" s="439">
        <v>0</v>
      </c>
      <c r="L51" s="439">
        <v>0</v>
      </c>
      <c r="M51" s="441">
        <v>3983307</v>
      </c>
      <c r="N51" s="439">
        <v>0</v>
      </c>
      <c r="O51" s="439">
        <v>0</v>
      </c>
      <c r="P51" s="439">
        <v>0</v>
      </c>
      <c r="Q51" s="442">
        <v>0</v>
      </c>
      <c r="R51" s="500">
        <v>10581826</v>
      </c>
      <c r="S51" s="481">
        <f t="shared" si="10"/>
        <v>14565133</v>
      </c>
      <c r="T51" s="422">
        <f t="shared" si="11"/>
        <v>0.06568111542490138</v>
      </c>
      <c r="U51" s="411">
        <f t="shared" si="7"/>
        <v>0</v>
      </c>
    </row>
    <row r="52" spans="1:21" s="424" customFormat="1" ht="24" customHeight="1">
      <c r="A52" s="437" t="s">
        <v>475</v>
      </c>
      <c r="B52" s="438" t="s">
        <v>476</v>
      </c>
      <c r="C52" s="485">
        <v>49794296</v>
      </c>
      <c r="D52" s="440">
        <v>49789646</v>
      </c>
      <c r="E52" s="439">
        <v>4650</v>
      </c>
      <c r="F52" s="439">
        <v>0</v>
      </c>
      <c r="G52" s="439">
        <v>0</v>
      </c>
      <c r="H52" s="485">
        <v>49794296</v>
      </c>
      <c r="I52" s="485">
        <v>29162861</v>
      </c>
      <c r="J52" s="439">
        <v>1800</v>
      </c>
      <c r="K52" s="439">
        <v>0</v>
      </c>
      <c r="L52" s="439">
        <v>0</v>
      </c>
      <c r="M52" s="441">
        <v>29161061</v>
      </c>
      <c r="N52" s="439">
        <v>0</v>
      </c>
      <c r="O52" s="439">
        <v>0</v>
      </c>
      <c r="P52" s="439">
        <v>0</v>
      </c>
      <c r="Q52" s="442">
        <v>0</v>
      </c>
      <c r="R52" s="500">
        <v>20631435</v>
      </c>
      <c r="S52" s="481">
        <f t="shared" si="10"/>
        <v>49792496</v>
      </c>
      <c r="T52" s="422">
        <f t="shared" si="11"/>
        <v>0.006172233924511042</v>
      </c>
      <c r="U52" s="411">
        <f t="shared" si="7"/>
        <v>0</v>
      </c>
    </row>
    <row r="53" spans="1:21" s="424" customFormat="1" ht="24" customHeight="1">
      <c r="A53" s="437" t="s">
        <v>477</v>
      </c>
      <c r="B53" s="438" t="s">
        <v>478</v>
      </c>
      <c r="C53" s="485">
        <v>45326728</v>
      </c>
      <c r="D53" s="440">
        <v>45321828</v>
      </c>
      <c r="E53" s="439">
        <v>4900</v>
      </c>
      <c r="F53" s="439">
        <v>0</v>
      </c>
      <c r="G53" s="439">
        <v>0</v>
      </c>
      <c r="H53" s="485">
        <v>45326728</v>
      </c>
      <c r="I53" s="485">
        <v>35097404</v>
      </c>
      <c r="J53" s="439">
        <v>111460</v>
      </c>
      <c r="K53" s="439">
        <v>0</v>
      </c>
      <c r="L53" s="439">
        <v>0</v>
      </c>
      <c r="M53" s="441">
        <v>34985944</v>
      </c>
      <c r="N53" s="439">
        <v>0</v>
      </c>
      <c r="O53" s="439">
        <v>0</v>
      </c>
      <c r="P53" s="439">
        <v>0</v>
      </c>
      <c r="Q53" s="442">
        <v>0</v>
      </c>
      <c r="R53" s="500">
        <v>10229324</v>
      </c>
      <c r="S53" s="481">
        <f t="shared" si="10"/>
        <v>45215268</v>
      </c>
      <c r="T53" s="422">
        <f t="shared" si="11"/>
        <v>0.31757334531066744</v>
      </c>
      <c r="U53" s="411">
        <f t="shared" si="7"/>
        <v>0</v>
      </c>
    </row>
    <row r="54" spans="1:21" s="424" customFormat="1" ht="24" customHeight="1">
      <c r="A54" s="437" t="s">
        <v>479</v>
      </c>
      <c r="B54" s="438" t="s">
        <v>480</v>
      </c>
      <c r="C54" s="485">
        <v>45697560</v>
      </c>
      <c r="D54" s="440">
        <v>45595161</v>
      </c>
      <c r="E54" s="439">
        <v>102399</v>
      </c>
      <c r="F54" s="439">
        <v>0</v>
      </c>
      <c r="G54" s="439">
        <v>0</v>
      </c>
      <c r="H54" s="485">
        <v>45697560</v>
      </c>
      <c r="I54" s="485">
        <v>16197329</v>
      </c>
      <c r="J54" s="439">
        <v>27160</v>
      </c>
      <c r="K54" s="439">
        <v>0</v>
      </c>
      <c r="L54" s="439">
        <v>0</v>
      </c>
      <c r="M54" s="441">
        <v>16170169</v>
      </c>
      <c r="N54" s="439">
        <v>0</v>
      </c>
      <c r="O54" s="439">
        <v>0</v>
      </c>
      <c r="P54" s="439">
        <v>0</v>
      </c>
      <c r="Q54" s="442">
        <v>0</v>
      </c>
      <c r="R54" s="500">
        <v>29500231</v>
      </c>
      <c r="S54" s="481">
        <f t="shared" si="10"/>
        <v>45670400</v>
      </c>
      <c r="T54" s="422">
        <f t="shared" si="11"/>
        <v>0.1676819678108656</v>
      </c>
      <c r="U54" s="411">
        <f t="shared" si="7"/>
        <v>0</v>
      </c>
    </row>
    <row r="55" spans="1:21" s="402" customFormat="1" ht="24" customHeight="1">
      <c r="A55" s="400">
        <v>6</v>
      </c>
      <c r="B55" s="404" t="s">
        <v>481</v>
      </c>
      <c r="C55" s="508">
        <f>SUM(C56:C60)</f>
        <v>171673143</v>
      </c>
      <c r="D55" s="401">
        <f aca="true" t="shared" si="16" ref="D55:R55">SUM(D56:D60)</f>
        <v>121652883</v>
      </c>
      <c r="E55" s="401">
        <f t="shared" si="16"/>
        <v>50020260</v>
      </c>
      <c r="F55" s="401">
        <f t="shared" si="16"/>
        <v>78437</v>
      </c>
      <c r="G55" s="401">
        <f t="shared" si="16"/>
        <v>0</v>
      </c>
      <c r="H55" s="508">
        <f t="shared" si="16"/>
        <v>171594706</v>
      </c>
      <c r="I55" s="508">
        <f t="shared" si="16"/>
        <v>149217496</v>
      </c>
      <c r="J55" s="401">
        <f t="shared" si="16"/>
        <v>11178126</v>
      </c>
      <c r="K55" s="401">
        <f t="shared" si="16"/>
        <v>1577607</v>
      </c>
      <c r="L55" s="401">
        <f t="shared" si="16"/>
        <v>0</v>
      </c>
      <c r="M55" s="401">
        <f t="shared" si="16"/>
        <v>124704806</v>
      </c>
      <c r="N55" s="401">
        <f t="shared" si="16"/>
        <v>1131951</v>
      </c>
      <c r="O55" s="401">
        <f t="shared" si="16"/>
        <v>0</v>
      </c>
      <c r="P55" s="401">
        <f t="shared" si="16"/>
        <v>0</v>
      </c>
      <c r="Q55" s="401">
        <f t="shared" si="16"/>
        <v>10625006</v>
      </c>
      <c r="R55" s="508">
        <f t="shared" si="16"/>
        <v>22377210</v>
      </c>
      <c r="S55" s="508">
        <f t="shared" si="10"/>
        <v>158838973</v>
      </c>
      <c r="T55" s="409">
        <f t="shared" si="11"/>
        <v>8.548416467194974</v>
      </c>
      <c r="U55" s="405">
        <f t="shared" si="7"/>
        <v>0</v>
      </c>
    </row>
    <row r="56" spans="1:21" s="424" customFormat="1" ht="24" customHeight="1">
      <c r="A56" s="423" t="s">
        <v>572</v>
      </c>
      <c r="B56" s="426" t="s">
        <v>482</v>
      </c>
      <c r="C56" s="486">
        <f>D56+E56</f>
        <v>58097599</v>
      </c>
      <c r="D56" s="443">
        <v>23493512</v>
      </c>
      <c r="E56" s="443">
        <v>34604087</v>
      </c>
      <c r="F56" s="443">
        <v>400</v>
      </c>
      <c r="G56" s="443"/>
      <c r="H56" s="486">
        <f>I56+R56</f>
        <v>58097199</v>
      </c>
      <c r="I56" s="486">
        <f>SUM(J56:Q56)</f>
        <v>49370592</v>
      </c>
      <c r="J56" s="443">
        <v>11041698</v>
      </c>
      <c r="K56" s="443">
        <v>1430096</v>
      </c>
      <c r="L56" s="443"/>
      <c r="M56" s="443">
        <v>35898798</v>
      </c>
      <c r="N56" s="443">
        <v>1000000</v>
      </c>
      <c r="O56" s="443"/>
      <c r="P56" s="443"/>
      <c r="Q56" s="443"/>
      <c r="R56" s="486">
        <v>8726607</v>
      </c>
      <c r="S56" s="481">
        <f t="shared" si="10"/>
        <v>45625405</v>
      </c>
      <c r="T56" s="422">
        <f t="shared" si="11"/>
        <v>25.26158487222515</v>
      </c>
      <c r="U56" s="411">
        <f t="shared" si="7"/>
        <v>0</v>
      </c>
    </row>
    <row r="57" spans="1:21" s="424" customFormat="1" ht="24" customHeight="1">
      <c r="A57" s="423" t="s">
        <v>573</v>
      </c>
      <c r="B57" s="426" t="s">
        <v>483</v>
      </c>
      <c r="C57" s="486">
        <f>D57+E57</f>
        <v>985431</v>
      </c>
      <c r="D57" s="443">
        <v>981477</v>
      </c>
      <c r="E57" s="443">
        <v>3954</v>
      </c>
      <c r="F57" s="443"/>
      <c r="G57" s="443"/>
      <c r="H57" s="486">
        <f>I57+R57</f>
        <v>985431</v>
      </c>
      <c r="I57" s="486">
        <f>SUM(J57:Q57)</f>
        <v>213248</v>
      </c>
      <c r="J57" s="443">
        <v>3300</v>
      </c>
      <c r="K57" s="443">
        <v>1847</v>
      </c>
      <c r="L57" s="443"/>
      <c r="M57" s="443">
        <v>208101</v>
      </c>
      <c r="N57" s="443"/>
      <c r="O57" s="443"/>
      <c r="P57" s="443"/>
      <c r="Q57" s="443"/>
      <c r="R57" s="486">
        <v>772183</v>
      </c>
      <c r="S57" s="481">
        <f t="shared" si="10"/>
        <v>980284</v>
      </c>
      <c r="T57" s="422">
        <f t="shared" si="11"/>
        <v>2.4136216986794716</v>
      </c>
      <c r="U57" s="411">
        <f t="shared" si="7"/>
        <v>0</v>
      </c>
    </row>
    <row r="58" spans="1:21" s="424" customFormat="1" ht="24" customHeight="1">
      <c r="A58" s="423" t="s">
        <v>574</v>
      </c>
      <c r="B58" s="426" t="s">
        <v>484</v>
      </c>
      <c r="C58" s="486">
        <f>D58+E58</f>
        <v>87950091</v>
      </c>
      <c r="D58" s="443">
        <v>77199785</v>
      </c>
      <c r="E58" s="443">
        <v>10750306</v>
      </c>
      <c r="F58" s="443">
        <v>78037</v>
      </c>
      <c r="G58" s="443"/>
      <c r="H58" s="486">
        <f>I58+R58</f>
        <v>87872054</v>
      </c>
      <c r="I58" s="486">
        <f>SUM(J58:Q58)</f>
        <v>83878545</v>
      </c>
      <c r="J58" s="443">
        <v>67850</v>
      </c>
      <c r="K58" s="443"/>
      <c r="L58" s="443"/>
      <c r="M58" s="443">
        <v>73053738</v>
      </c>
      <c r="N58" s="443">
        <v>131951</v>
      </c>
      <c r="O58" s="443"/>
      <c r="P58" s="443"/>
      <c r="Q58" s="443">
        <v>10625006</v>
      </c>
      <c r="R58" s="486">
        <v>3993509</v>
      </c>
      <c r="S58" s="481">
        <f t="shared" si="10"/>
        <v>87804204</v>
      </c>
      <c r="T58" s="422">
        <f t="shared" si="11"/>
        <v>0.08089076890878352</v>
      </c>
      <c r="U58" s="411">
        <f t="shared" si="7"/>
        <v>0</v>
      </c>
    </row>
    <row r="59" spans="1:21" s="424" customFormat="1" ht="24" customHeight="1">
      <c r="A59" s="423" t="s">
        <v>575</v>
      </c>
      <c r="B59" s="426" t="s">
        <v>485</v>
      </c>
      <c r="C59" s="486">
        <f>D59+E59</f>
        <v>16973541</v>
      </c>
      <c r="D59" s="443">
        <v>12456272</v>
      </c>
      <c r="E59" s="443">
        <v>4517269</v>
      </c>
      <c r="F59" s="443"/>
      <c r="G59" s="443"/>
      <c r="H59" s="486">
        <f>I59+R59</f>
        <v>16973541</v>
      </c>
      <c r="I59" s="486">
        <f>SUM(J59:Q59)</f>
        <v>14392276</v>
      </c>
      <c r="J59" s="443">
        <v>1500</v>
      </c>
      <c r="K59" s="443">
        <v>145664</v>
      </c>
      <c r="L59" s="443"/>
      <c r="M59" s="443">
        <v>14245112</v>
      </c>
      <c r="N59" s="443"/>
      <c r="O59" s="443"/>
      <c r="P59" s="443"/>
      <c r="Q59" s="443"/>
      <c r="R59" s="486">
        <v>2581265</v>
      </c>
      <c r="S59" s="481">
        <f t="shared" si="10"/>
        <v>16826377</v>
      </c>
      <c r="T59" s="422">
        <f t="shared" si="11"/>
        <v>1.022520690959512</v>
      </c>
      <c r="U59" s="411">
        <f t="shared" si="7"/>
        <v>0</v>
      </c>
    </row>
    <row r="60" spans="1:21" s="424" customFormat="1" ht="24" customHeight="1">
      <c r="A60" s="423" t="s">
        <v>576</v>
      </c>
      <c r="B60" s="426" t="s">
        <v>550</v>
      </c>
      <c r="C60" s="486">
        <f>D60+E60</f>
        <v>7666481</v>
      </c>
      <c r="D60" s="443">
        <v>7521837</v>
      </c>
      <c r="E60" s="443">
        <v>144644</v>
      </c>
      <c r="F60" s="443"/>
      <c r="G60" s="443"/>
      <c r="H60" s="486">
        <f>I60+R60</f>
        <v>7666481</v>
      </c>
      <c r="I60" s="486">
        <f>SUM(J60:Q60)</f>
        <v>1362835</v>
      </c>
      <c r="J60" s="443">
        <v>63778</v>
      </c>
      <c r="K60" s="443"/>
      <c r="L60" s="443"/>
      <c r="M60" s="443">
        <v>1299057</v>
      </c>
      <c r="N60" s="443"/>
      <c r="O60" s="443"/>
      <c r="P60" s="443"/>
      <c r="Q60" s="443"/>
      <c r="R60" s="486">
        <v>6303646</v>
      </c>
      <c r="S60" s="481">
        <f t="shared" si="10"/>
        <v>7602703</v>
      </c>
      <c r="T60" s="422">
        <f t="shared" si="11"/>
        <v>4.679803497855573</v>
      </c>
      <c r="U60" s="411">
        <f t="shared" si="7"/>
        <v>0</v>
      </c>
    </row>
    <row r="61" spans="1:21" s="402" customFormat="1" ht="24" customHeight="1">
      <c r="A61" s="400">
        <v>7</v>
      </c>
      <c r="B61" s="512" t="s">
        <v>531</v>
      </c>
      <c r="C61" s="508">
        <f>SUM(C62:C67)</f>
        <v>379288546</v>
      </c>
      <c r="D61" s="401">
        <f aca="true" t="shared" si="17" ref="D61:R61">SUM(D62:D67)</f>
        <v>333394610</v>
      </c>
      <c r="E61" s="401">
        <f t="shared" si="17"/>
        <v>45893936</v>
      </c>
      <c r="F61" s="401">
        <f t="shared" si="17"/>
        <v>0</v>
      </c>
      <c r="G61" s="401">
        <f t="shared" si="17"/>
        <v>0</v>
      </c>
      <c r="H61" s="508">
        <f t="shared" si="17"/>
        <v>379288546</v>
      </c>
      <c r="I61" s="508">
        <f t="shared" si="17"/>
        <v>217818164</v>
      </c>
      <c r="J61" s="401">
        <f t="shared" si="17"/>
        <v>3882641</v>
      </c>
      <c r="K61" s="401">
        <f t="shared" si="17"/>
        <v>1398812</v>
      </c>
      <c r="L61" s="401">
        <f t="shared" si="17"/>
        <v>0</v>
      </c>
      <c r="M61" s="401">
        <f t="shared" si="17"/>
        <v>212536711</v>
      </c>
      <c r="N61" s="401">
        <f t="shared" si="17"/>
        <v>0</v>
      </c>
      <c r="O61" s="401">
        <f t="shared" si="17"/>
        <v>0</v>
      </c>
      <c r="P61" s="401">
        <f t="shared" si="17"/>
        <v>0</v>
      </c>
      <c r="Q61" s="401">
        <f t="shared" si="17"/>
        <v>0</v>
      </c>
      <c r="R61" s="508">
        <f t="shared" si="17"/>
        <v>161470382</v>
      </c>
      <c r="S61" s="508">
        <f t="shared" si="10"/>
        <v>374007093</v>
      </c>
      <c r="T61" s="409">
        <f t="shared" si="11"/>
        <v>2.424707335243171</v>
      </c>
      <c r="U61" s="405">
        <f t="shared" si="7"/>
        <v>0</v>
      </c>
    </row>
    <row r="62" spans="1:21" s="424" customFormat="1" ht="24" customHeight="1">
      <c r="A62" s="437" t="s">
        <v>566</v>
      </c>
      <c r="B62" s="444" t="s">
        <v>487</v>
      </c>
      <c r="C62" s="487">
        <v>99976744</v>
      </c>
      <c r="D62" s="445">
        <v>99333350</v>
      </c>
      <c r="E62" s="445">
        <v>643394</v>
      </c>
      <c r="F62" s="445">
        <v>0</v>
      </c>
      <c r="G62" s="445"/>
      <c r="H62" s="487">
        <v>99976744</v>
      </c>
      <c r="I62" s="487">
        <v>58659590</v>
      </c>
      <c r="J62" s="445">
        <v>2400</v>
      </c>
      <c r="K62" s="445">
        <v>0</v>
      </c>
      <c r="L62" s="445"/>
      <c r="M62" s="445">
        <v>58657190</v>
      </c>
      <c r="N62" s="445"/>
      <c r="O62" s="445"/>
      <c r="P62" s="445"/>
      <c r="Q62" s="432"/>
      <c r="R62" s="501">
        <v>41317154</v>
      </c>
      <c r="S62" s="481">
        <f t="shared" si="10"/>
        <v>99974344</v>
      </c>
      <c r="T62" s="422">
        <f t="shared" si="11"/>
        <v>0.004091402616349688</v>
      </c>
      <c r="U62" s="411">
        <f t="shared" si="7"/>
        <v>0</v>
      </c>
    </row>
    <row r="63" spans="1:21" s="424" customFormat="1" ht="24" customHeight="1">
      <c r="A63" s="437" t="s">
        <v>567</v>
      </c>
      <c r="B63" s="444" t="s">
        <v>488</v>
      </c>
      <c r="C63" s="487">
        <v>66589530</v>
      </c>
      <c r="D63" s="446">
        <v>66220500</v>
      </c>
      <c r="E63" s="446">
        <v>369030</v>
      </c>
      <c r="F63" s="446">
        <v>0</v>
      </c>
      <c r="G63" s="446">
        <v>0</v>
      </c>
      <c r="H63" s="487">
        <v>66589530</v>
      </c>
      <c r="I63" s="487">
        <v>35271469</v>
      </c>
      <c r="J63" s="446">
        <v>4085</v>
      </c>
      <c r="K63" s="446"/>
      <c r="L63" s="446">
        <v>0</v>
      </c>
      <c r="M63" s="446">
        <v>35267384</v>
      </c>
      <c r="N63" s="446">
        <v>0</v>
      </c>
      <c r="O63" s="446">
        <v>0</v>
      </c>
      <c r="P63" s="446">
        <v>0</v>
      </c>
      <c r="Q63" s="447">
        <v>0</v>
      </c>
      <c r="R63" s="502">
        <v>31318061</v>
      </c>
      <c r="S63" s="481">
        <f t="shared" si="10"/>
        <v>66585445</v>
      </c>
      <c r="T63" s="422">
        <f t="shared" si="11"/>
        <v>0.011581598713679888</v>
      </c>
      <c r="U63" s="411">
        <f t="shared" si="7"/>
        <v>0</v>
      </c>
    </row>
    <row r="64" spans="1:21" s="424" customFormat="1" ht="24" customHeight="1">
      <c r="A64" s="437" t="s">
        <v>568</v>
      </c>
      <c r="B64" s="444" t="s">
        <v>551</v>
      </c>
      <c r="C64" s="487">
        <v>57611799</v>
      </c>
      <c r="D64" s="445">
        <v>18253984</v>
      </c>
      <c r="E64" s="445">
        <v>39357815</v>
      </c>
      <c r="F64" s="445">
        <v>0</v>
      </c>
      <c r="G64" s="445"/>
      <c r="H64" s="487">
        <v>57611799</v>
      </c>
      <c r="I64" s="487">
        <v>43646604</v>
      </c>
      <c r="J64" s="445">
        <v>2100</v>
      </c>
      <c r="K64" s="445">
        <v>0</v>
      </c>
      <c r="L64" s="445"/>
      <c r="M64" s="445">
        <v>43644504</v>
      </c>
      <c r="N64" s="445"/>
      <c r="O64" s="445"/>
      <c r="P64" s="445"/>
      <c r="Q64" s="432">
        <v>0</v>
      </c>
      <c r="R64" s="501">
        <v>13965195</v>
      </c>
      <c r="S64" s="481">
        <f t="shared" si="10"/>
        <v>57609699</v>
      </c>
      <c r="T64" s="422">
        <f t="shared" si="11"/>
        <v>0.004811370891536029</v>
      </c>
      <c r="U64" s="411">
        <f t="shared" si="7"/>
        <v>0</v>
      </c>
    </row>
    <row r="65" spans="1:21" s="424" customFormat="1" ht="24" customHeight="1">
      <c r="A65" s="437" t="s">
        <v>569</v>
      </c>
      <c r="B65" s="444" t="s">
        <v>490</v>
      </c>
      <c r="C65" s="487">
        <v>45815011</v>
      </c>
      <c r="D65" s="445">
        <v>44850213</v>
      </c>
      <c r="E65" s="445">
        <v>964798</v>
      </c>
      <c r="F65" s="445">
        <v>0</v>
      </c>
      <c r="G65" s="445"/>
      <c r="H65" s="487">
        <v>45815011</v>
      </c>
      <c r="I65" s="487">
        <v>4611414</v>
      </c>
      <c r="J65" s="445">
        <v>7100</v>
      </c>
      <c r="K65" s="445">
        <v>1398812</v>
      </c>
      <c r="L65" s="445"/>
      <c r="M65" s="445">
        <v>3205502</v>
      </c>
      <c r="N65" s="445"/>
      <c r="O65" s="445"/>
      <c r="P65" s="445"/>
      <c r="Q65" s="432">
        <v>0</v>
      </c>
      <c r="R65" s="501">
        <v>41203597</v>
      </c>
      <c r="S65" s="481">
        <f t="shared" si="10"/>
        <v>44409099</v>
      </c>
      <c r="T65" s="422">
        <f t="shared" si="11"/>
        <v>30.487655196432158</v>
      </c>
      <c r="U65" s="411">
        <f t="shared" si="7"/>
        <v>0</v>
      </c>
    </row>
    <row r="66" spans="1:21" s="424" customFormat="1" ht="24" customHeight="1">
      <c r="A66" s="437" t="s">
        <v>570</v>
      </c>
      <c r="B66" s="444" t="s">
        <v>491</v>
      </c>
      <c r="C66" s="487">
        <v>85784707</v>
      </c>
      <c r="D66" s="445">
        <v>84228674</v>
      </c>
      <c r="E66" s="448">
        <v>1556033</v>
      </c>
      <c r="F66" s="445">
        <v>0</v>
      </c>
      <c r="G66" s="445"/>
      <c r="H66" s="487">
        <v>85784707</v>
      </c>
      <c r="I66" s="487">
        <v>57889222</v>
      </c>
      <c r="J66" s="445">
        <v>64956</v>
      </c>
      <c r="K66" s="445">
        <v>0</v>
      </c>
      <c r="L66" s="445"/>
      <c r="M66" s="445">
        <v>57824266</v>
      </c>
      <c r="N66" s="445"/>
      <c r="O66" s="445"/>
      <c r="P66" s="445"/>
      <c r="Q66" s="449">
        <v>0</v>
      </c>
      <c r="R66" s="501">
        <v>27895485</v>
      </c>
      <c r="S66" s="481">
        <f t="shared" si="10"/>
        <v>85719751</v>
      </c>
      <c r="T66" s="422">
        <f t="shared" si="11"/>
        <v>0.112207415743124</v>
      </c>
      <c r="U66" s="411">
        <f t="shared" si="7"/>
        <v>0</v>
      </c>
    </row>
    <row r="67" spans="1:21" s="424" customFormat="1" ht="24" customHeight="1">
      <c r="A67" s="437" t="s">
        <v>571</v>
      </c>
      <c r="B67" s="444" t="s">
        <v>492</v>
      </c>
      <c r="C67" s="487">
        <v>23510755</v>
      </c>
      <c r="D67" s="445">
        <v>20507889</v>
      </c>
      <c r="E67" s="445">
        <v>3002866</v>
      </c>
      <c r="F67" s="445">
        <v>0</v>
      </c>
      <c r="G67" s="445">
        <v>0</v>
      </c>
      <c r="H67" s="487">
        <v>23510755</v>
      </c>
      <c r="I67" s="487">
        <v>17739865</v>
      </c>
      <c r="J67" s="445">
        <v>3802000</v>
      </c>
      <c r="K67" s="445">
        <v>0</v>
      </c>
      <c r="L67" s="445"/>
      <c r="M67" s="445">
        <v>13937865</v>
      </c>
      <c r="N67" s="445"/>
      <c r="O67" s="445"/>
      <c r="P67" s="445"/>
      <c r="Q67" s="449">
        <v>0</v>
      </c>
      <c r="R67" s="501">
        <v>5770890</v>
      </c>
      <c r="S67" s="481">
        <f t="shared" si="10"/>
        <v>19708755</v>
      </c>
      <c r="T67" s="422">
        <f t="shared" si="11"/>
        <v>21.431955654679445</v>
      </c>
      <c r="U67" s="411">
        <f t="shared" si="7"/>
        <v>0</v>
      </c>
    </row>
    <row r="68" spans="1:21" s="402" customFormat="1" ht="24" customHeight="1">
      <c r="A68" s="400">
        <v>8</v>
      </c>
      <c r="B68" s="404" t="s">
        <v>493</v>
      </c>
      <c r="C68" s="508">
        <f>SUM(C69:C71)</f>
        <v>45366671</v>
      </c>
      <c r="D68" s="401">
        <f aca="true" t="shared" si="18" ref="D68:R68">SUM(D69:D71)</f>
        <v>40111419</v>
      </c>
      <c r="E68" s="401">
        <f t="shared" si="18"/>
        <v>5255252</v>
      </c>
      <c r="F68" s="401">
        <f t="shared" si="18"/>
        <v>0</v>
      </c>
      <c r="G68" s="401">
        <f t="shared" si="18"/>
        <v>0</v>
      </c>
      <c r="H68" s="508">
        <f t="shared" si="18"/>
        <v>45366671</v>
      </c>
      <c r="I68" s="508">
        <f t="shared" si="18"/>
        <v>30440848</v>
      </c>
      <c r="J68" s="401">
        <f t="shared" si="18"/>
        <v>31987</v>
      </c>
      <c r="K68" s="401">
        <f t="shared" si="18"/>
        <v>0</v>
      </c>
      <c r="L68" s="401">
        <f t="shared" si="18"/>
        <v>0</v>
      </c>
      <c r="M68" s="401">
        <f t="shared" si="18"/>
        <v>30399151</v>
      </c>
      <c r="N68" s="401">
        <f t="shared" si="18"/>
        <v>0</v>
      </c>
      <c r="O68" s="401">
        <f t="shared" si="18"/>
        <v>9710</v>
      </c>
      <c r="P68" s="401">
        <f t="shared" si="18"/>
        <v>0</v>
      </c>
      <c r="Q68" s="401">
        <f t="shared" si="18"/>
        <v>0</v>
      </c>
      <c r="R68" s="508">
        <f t="shared" si="18"/>
        <v>14925823</v>
      </c>
      <c r="S68" s="508">
        <f t="shared" si="10"/>
        <v>45334684</v>
      </c>
      <c r="T68" s="409">
        <f t="shared" si="11"/>
        <v>0.10507920147296818</v>
      </c>
      <c r="U68" s="405">
        <f t="shared" si="7"/>
        <v>0</v>
      </c>
    </row>
    <row r="69" spans="1:21" s="424" customFormat="1" ht="24" customHeight="1">
      <c r="A69" s="437" t="s">
        <v>494</v>
      </c>
      <c r="B69" s="427" t="s">
        <v>495</v>
      </c>
      <c r="C69" s="486">
        <f>D69+E69</f>
        <v>2910774</v>
      </c>
      <c r="D69" s="443">
        <v>2877896</v>
      </c>
      <c r="E69" s="443">
        <v>32878</v>
      </c>
      <c r="F69" s="443">
        <v>0</v>
      </c>
      <c r="G69" s="443"/>
      <c r="H69" s="486">
        <f>I69+R69</f>
        <v>2910774</v>
      </c>
      <c r="I69" s="486">
        <f>J69+K69+L69+M69+N69+O69+P69+Q69</f>
        <v>1377604</v>
      </c>
      <c r="J69" s="443">
        <v>11650</v>
      </c>
      <c r="K69" s="443">
        <v>0</v>
      </c>
      <c r="L69" s="443"/>
      <c r="M69" s="443">
        <v>1365954</v>
      </c>
      <c r="N69" s="443"/>
      <c r="O69" s="443"/>
      <c r="P69" s="443"/>
      <c r="Q69" s="443"/>
      <c r="R69" s="486">
        <v>1533170</v>
      </c>
      <c r="S69" s="481">
        <f t="shared" si="10"/>
        <v>2899124</v>
      </c>
      <c r="T69" s="422">
        <f t="shared" si="11"/>
        <v>0.8456711798165509</v>
      </c>
      <c r="U69" s="411">
        <f t="shared" si="7"/>
        <v>0</v>
      </c>
    </row>
    <row r="70" spans="1:21" s="424" customFormat="1" ht="24" customHeight="1">
      <c r="A70" s="437" t="s">
        <v>496</v>
      </c>
      <c r="B70" s="427" t="s">
        <v>497</v>
      </c>
      <c r="C70" s="486">
        <f>D70+E70</f>
        <v>25798863</v>
      </c>
      <c r="D70" s="443">
        <v>20591095</v>
      </c>
      <c r="E70" s="443">
        <v>5207768</v>
      </c>
      <c r="F70" s="443">
        <v>0</v>
      </c>
      <c r="G70" s="443">
        <v>0</v>
      </c>
      <c r="H70" s="486">
        <f>I70+R70</f>
        <v>25798863</v>
      </c>
      <c r="I70" s="486">
        <f>J70+K70+L70+M70+N70+O70+P70+Q70</f>
        <v>17956650</v>
      </c>
      <c r="J70" s="443">
        <v>15550</v>
      </c>
      <c r="K70" s="443">
        <v>0</v>
      </c>
      <c r="L70" s="443"/>
      <c r="M70" s="443">
        <v>17931390</v>
      </c>
      <c r="N70" s="443"/>
      <c r="O70" s="443">
        <v>9710</v>
      </c>
      <c r="P70" s="443"/>
      <c r="Q70" s="443"/>
      <c r="R70" s="486">
        <v>7842213</v>
      </c>
      <c r="S70" s="481">
        <f t="shared" si="10"/>
        <v>25783313</v>
      </c>
      <c r="T70" s="422">
        <f t="shared" si="11"/>
        <v>0.08659744440082086</v>
      </c>
      <c r="U70" s="411">
        <f t="shared" si="7"/>
        <v>0</v>
      </c>
    </row>
    <row r="71" spans="1:21" s="424" customFormat="1" ht="24" customHeight="1">
      <c r="A71" s="437" t="s">
        <v>552</v>
      </c>
      <c r="B71" s="427" t="s">
        <v>489</v>
      </c>
      <c r="C71" s="486">
        <f>D71+E71</f>
        <v>16657034</v>
      </c>
      <c r="D71" s="443">
        <v>16642428</v>
      </c>
      <c r="E71" s="443">
        <v>14606</v>
      </c>
      <c r="F71" s="443">
        <v>0</v>
      </c>
      <c r="G71" s="443"/>
      <c r="H71" s="486">
        <f>I71+R71</f>
        <v>16657034</v>
      </c>
      <c r="I71" s="486">
        <f>J71+K71+L71+M71+N71+O71+P71+Q71</f>
        <v>11106594</v>
      </c>
      <c r="J71" s="443">
        <v>4787</v>
      </c>
      <c r="K71" s="443">
        <v>0</v>
      </c>
      <c r="L71" s="443"/>
      <c r="M71" s="443">
        <v>11101807</v>
      </c>
      <c r="N71" s="443"/>
      <c r="O71" s="443"/>
      <c r="P71" s="443"/>
      <c r="Q71" s="443"/>
      <c r="R71" s="486">
        <v>5550440</v>
      </c>
      <c r="S71" s="481">
        <f t="shared" si="10"/>
        <v>16652247</v>
      </c>
      <c r="T71" s="422">
        <f t="shared" si="11"/>
        <v>0.04310052208624894</v>
      </c>
      <c r="U71" s="411">
        <f t="shared" si="7"/>
        <v>0</v>
      </c>
    </row>
    <row r="72" spans="1:21" s="402" customFormat="1" ht="24" customHeight="1">
      <c r="A72" s="400">
        <v>9</v>
      </c>
      <c r="B72" s="404" t="s">
        <v>498</v>
      </c>
      <c r="C72" s="508">
        <f>SUM(C73:C75)</f>
        <v>11242546</v>
      </c>
      <c r="D72" s="401">
        <f aca="true" t="shared" si="19" ref="D72:R72">SUM(D73:D75)</f>
        <v>9962981</v>
      </c>
      <c r="E72" s="401">
        <f t="shared" si="19"/>
        <v>1279565</v>
      </c>
      <c r="F72" s="401">
        <f t="shared" si="19"/>
        <v>0</v>
      </c>
      <c r="G72" s="401">
        <f t="shared" si="19"/>
        <v>0</v>
      </c>
      <c r="H72" s="508">
        <f t="shared" si="19"/>
        <v>11242546</v>
      </c>
      <c r="I72" s="508">
        <f t="shared" si="19"/>
        <v>9053190</v>
      </c>
      <c r="J72" s="401">
        <f t="shared" si="19"/>
        <v>17400</v>
      </c>
      <c r="K72" s="401">
        <f t="shared" si="19"/>
        <v>48825</v>
      </c>
      <c r="L72" s="401">
        <f t="shared" si="19"/>
        <v>0</v>
      </c>
      <c r="M72" s="401">
        <f t="shared" si="19"/>
        <v>8986965</v>
      </c>
      <c r="N72" s="401">
        <f t="shared" si="19"/>
        <v>0</v>
      </c>
      <c r="O72" s="401">
        <f t="shared" si="19"/>
        <v>0</v>
      </c>
      <c r="P72" s="401">
        <f t="shared" si="19"/>
        <v>0</v>
      </c>
      <c r="Q72" s="401">
        <f t="shared" si="19"/>
        <v>0</v>
      </c>
      <c r="R72" s="508">
        <f t="shared" si="19"/>
        <v>2189356</v>
      </c>
      <c r="S72" s="508">
        <f t="shared" si="10"/>
        <v>11176321</v>
      </c>
      <c r="T72" s="409">
        <f t="shared" si="11"/>
        <v>0.7315101085915573</v>
      </c>
      <c r="U72" s="405">
        <f t="shared" si="7"/>
        <v>0</v>
      </c>
    </row>
    <row r="73" spans="1:21" s="424" customFormat="1" ht="24" customHeight="1">
      <c r="A73" s="437" t="s">
        <v>499</v>
      </c>
      <c r="B73" s="431" t="s">
        <v>500</v>
      </c>
      <c r="C73" s="488">
        <f>SUM(D73:E73)</f>
        <v>2675293</v>
      </c>
      <c r="D73" s="433">
        <v>2666893</v>
      </c>
      <c r="E73" s="433">
        <f>8400</f>
        <v>8400</v>
      </c>
      <c r="F73" s="433">
        <v>0</v>
      </c>
      <c r="G73" s="433">
        <v>0</v>
      </c>
      <c r="H73" s="488">
        <f>I73+R73</f>
        <v>2675293</v>
      </c>
      <c r="I73" s="488">
        <f>SUM(J73:Q73)</f>
        <v>2257805</v>
      </c>
      <c r="J73" s="433">
        <f>7050</f>
        <v>7050</v>
      </c>
      <c r="K73" s="433">
        <f>27853</f>
        <v>27853</v>
      </c>
      <c r="L73" s="433">
        <v>0</v>
      </c>
      <c r="M73" s="433">
        <f>C73-J73-K73-L73-N73-O73-P73-Q73-R73-F73-G73</f>
        <v>2222902</v>
      </c>
      <c r="N73" s="433">
        <v>0</v>
      </c>
      <c r="O73" s="433">
        <v>0</v>
      </c>
      <c r="P73" s="433">
        <v>0</v>
      </c>
      <c r="Q73" s="450">
        <v>0</v>
      </c>
      <c r="R73" s="503">
        <f>438988-21500</f>
        <v>417488</v>
      </c>
      <c r="S73" s="481">
        <f t="shared" si="10"/>
        <v>2640390</v>
      </c>
      <c r="T73" s="422">
        <f t="shared" si="11"/>
        <v>1.545881951718594</v>
      </c>
      <c r="U73" s="411">
        <f t="shared" si="7"/>
        <v>0</v>
      </c>
    </row>
    <row r="74" spans="1:21" s="424" customFormat="1" ht="24" customHeight="1">
      <c r="A74" s="437" t="s">
        <v>501</v>
      </c>
      <c r="B74" s="431" t="s">
        <v>502</v>
      </c>
      <c r="C74" s="488">
        <f>SUM(D74:E74)</f>
        <v>5362707</v>
      </c>
      <c r="D74" s="433">
        <v>4516556</v>
      </c>
      <c r="E74" s="433">
        <f>846210-59</f>
        <v>846151</v>
      </c>
      <c r="F74" s="433">
        <v>0</v>
      </c>
      <c r="G74" s="433">
        <v>0</v>
      </c>
      <c r="H74" s="488">
        <f>I74+R74</f>
        <v>5362707</v>
      </c>
      <c r="I74" s="488">
        <f>SUM(J74:Q74)</f>
        <v>4245249</v>
      </c>
      <c r="J74" s="433">
        <v>0</v>
      </c>
      <c r="K74" s="433">
        <f>10000</f>
        <v>10000</v>
      </c>
      <c r="L74" s="433">
        <v>0</v>
      </c>
      <c r="M74" s="433">
        <f>C74-J74-K74-L74-N74-O74-P74-Q74-R74-F74-G74</f>
        <v>4235249</v>
      </c>
      <c r="N74" s="433">
        <v>0</v>
      </c>
      <c r="O74" s="433">
        <v>0</v>
      </c>
      <c r="P74" s="433">
        <v>0</v>
      </c>
      <c r="Q74" s="450">
        <v>0</v>
      </c>
      <c r="R74" s="503">
        <f>390935-52717-3081+700000+37321+45000</f>
        <v>1117458</v>
      </c>
      <c r="S74" s="481">
        <f t="shared" si="10"/>
        <v>5352707</v>
      </c>
      <c r="T74" s="422">
        <f t="shared" si="11"/>
        <v>0.23555744315586674</v>
      </c>
      <c r="U74" s="411">
        <f t="shared" si="7"/>
        <v>0</v>
      </c>
    </row>
    <row r="75" spans="1:21" s="424" customFormat="1" ht="24" customHeight="1">
      <c r="A75" s="437" t="s">
        <v>503</v>
      </c>
      <c r="B75" s="431" t="s">
        <v>504</v>
      </c>
      <c r="C75" s="488">
        <f>SUM(D75:E75)</f>
        <v>3204546</v>
      </c>
      <c r="D75" s="433">
        <v>2779532</v>
      </c>
      <c r="E75" s="433">
        <f>425014</f>
        <v>425014</v>
      </c>
      <c r="F75" s="433">
        <v>0</v>
      </c>
      <c r="G75" s="433">
        <v>0</v>
      </c>
      <c r="H75" s="488">
        <f>I75+R75</f>
        <v>3204546</v>
      </c>
      <c r="I75" s="488">
        <f>SUM(J75:Q75)</f>
        <v>2550136</v>
      </c>
      <c r="J75" s="433">
        <f>10350</f>
        <v>10350</v>
      </c>
      <c r="K75" s="433">
        <f>10972</f>
        <v>10972</v>
      </c>
      <c r="L75" s="433">
        <v>0</v>
      </c>
      <c r="M75" s="433">
        <f>C75-J75-K75-L75-N75-O75-P75-Q75-R75-F75-G75</f>
        <v>2528814</v>
      </c>
      <c r="N75" s="433">
        <v>0</v>
      </c>
      <c r="O75" s="433">
        <v>0</v>
      </c>
      <c r="P75" s="433">
        <v>0</v>
      </c>
      <c r="Q75" s="450">
        <v>0</v>
      </c>
      <c r="R75" s="503">
        <f>571173-29780+411-37786+57836+33070+2650+56836</f>
        <v>654410</v>
      </c>
      <c r="S75" s="481">
        <f t="shared" si="10"/>
        <v>3183224</v>
      </c>
      <c r="T75" s="422">
        <f t="shared" si="11"/>
        <v>0.8361122700906932</v>
      </c>
      <c r="U75" s="411">
        <f t="shared" si="7"/>
        <v>0</v>
      </c>
    </row>
    <row r="76" spans="1:21" s="402" customFormat="1" ht="24" customHeight="1">
      <c r="A76" s="400">
        <v>10</v>
      </c>
      <c r="B76" s="404" t="s">
        <v>505</v>
      </c>
      <c r="C76" s="508">
        <f>SUM(C77:C85)</f>
        <v>385135452</v>
      </c>
      <c r="D76" s="401">
        <f aca="true" t="shared" si="20" ref="D76:R76">SUM(D77:D85)</f>
        <v>382562132</v>
      </c>
      <c r="E76" s="401">
        <f t="shared" si="20"/>
        <v>2573320</v>
      </c>
      <c r="F76" s="401">
        <f t="shared" si="20"/>
        <v>0</v>
      </c>
      <c r="G76" s="401">
        <f t="shared" si="20"/>
        <v>0</v>
      </c>
      <c r="H76" s="508">
        <f t="shared" si="20"/>
        <v>385135452</v>
      </c>
      <c r="I76" s="508">
        <f t="shared" si="20"/>
        <v>115889307</v>
      </c>
      <c r="J76" s="401">
        <f t="shared" si="20"/>
        <v>271133</v>
      </c>
      <c r="K76" s="401">
        <f t="shared" si="20"/>
        <v>1384987</v>
      </c>
      <c r="L76" s="401">
        <f t="shared" si="20"/>
        <v>0</v>
      </c>
      <c r="M76" s="401">
        <f t="shared" si="20"/>
        <v>113283164</v>
      </c>
      <c r="N76" s="401">
        <f t="shared" si="20"/>
        <v>147553</v>
      </c>
      <c r="O76" s="401">
        <f t="shared" si="20"/>
        <v>0</v>
      </c>
      <c r="P76" s="401">
        <f t="shared" si="20"/>
        <v>0</v>
      </c>
      <c r="Q76" s="401">
        <f t="shared" si="20"/>
        <v>802470</v>
      </c>
      <c r="R76" s="508">
        <f t="shared" si="20"/>
        <v>269246145</v>
      </c>
      <c r="S76" s="508">
        <f t="shared" si="10"/>
        <v>383479332</v>
      </c>
      <c r="T76" s="409">
        <f t="shared" si="11"/>
        <v>1.4290533293119096</v>
      </c>
      <c r="U76" s="405">
        <f aca="true" t="shared" si="21" ref="U76:U111">C76-F76-H76</f>
        <v>0</v>
      </c>
    </row>
    <row r="77" spans="1:21" s="424" customFormat="1" ht="24" customHeight="1">
      <c r="A77" s="437" t="s">
        <v>532</v>
      </c>
      <c r="B77" s="451" t="s">
        <v>472</v>
      </c>
      <c r="C77" s="487">
        <v>1123457</v>
      </c>
      <c r="D77" s="445">
        <v>183237</v>
      </c>
      <c r="E77" s="445">
        <v>940220</v>
      </c>
      <c r="F77" s="445">
        <v>0</v>
      </c>
      <c r="G77" s="445">
        <v>0</v>
      </c>
      <c r="H77" s="487">
        <v>1123457</v>
      </c>
      <c r="I77" s="487">
        <v>1001279</v>
      </c>
      <c r="J77" s="445">
        <v>1400</v>
      </c>
      <c r="K77" s="445">
        <v>0</v>
      </c>
      <c r="L77" s="445">
        <v>0</v>
      </c>
      <c r="M77" s="445">
        <v>999879</v>
      </c>
      <c r="N77" s="445">
        <v>0</v>
      </c>
      <c r="O77" s="445">
        <v>0</v>
      </c>
      <c r="P77" s="445">
        <v>0</v>
      </c>
      <c r="Q77" s="445">
        <v>0</v>
      </c>
      <c r="R77" s="487">
        <v>122178</v>
      </c>
      <c r="S77" s="481">
        <f t="shared" si="10"/>
        <v>1122057</v>
      </c>
      <c r="T77" s="422">
        <f t="shared" si="11"/>
        <v>0.13982116872520048</v>
      </c>
      <c r="U77" s="411">
        <f t="shared" si="21"/>
        <v>0</v>
      </c>
    </row>
    <row r="78" spans="1:21" s="424" customFormat="1" ht="24" customHeight="1">
      <c r="A78" s="437" t="s">
        <v>581</v>
      </c>
      <c r="B78" s="451" t="s">
        <v>584</v>
      </c>
      <c r="C78" s="487">
        <v>158593870</v>
      </c>
      <c r="D78" s="445">
        <v>158358464</v>
      </c>
      <c r="E78" s="445">
        <v>235406</v>
      </c>
      <c r="F78" s="445">
        <v>0</v>
      </c>
      <c r="G78" s="445">
        <v>0</v>
      </c>
      <c r="H78" s="487">
        <v>158593870</v>
      </c>
      <c r="I78" s="487">
        <v>8658608</v>
      </c>
      <c r="J78" s="445">
        <v>186456</v>
      </c>
      <c r="K78" s="445">
        <v>1900</v>
      </c>
      <c r="L78" s="445">
        <v>0</v>
      </c>
      <c r="M78" s="445">
        <v>8470252</v>
      </c>
      <c r="N78" s="445">
        <v>0</v>
      </c>
      <c r="O78" s="445">
        <v>0</v>
      </c>
      <c r="P78" s="445">
        <v>0</v>
      </c>
      <c r="Q78" s="445">
        <v>0</v>
      </c>
      <c r="R78" s="487">
        <v>149935262</v>
      </c>
      <c r="S78" s="481">
        <f t="shared" si="10"/>
        <v>158405514</v>
      </c>
      <c r="T78" s="422">
        <f t="shared" si="11"/>
        <v>2.1753612127954054</v>
      </c>
      <c r="U78" s="411">
        <f t="shared" si="21"/>
        <v>0</v>
      </c>
    </row>
    <row r="79" spans="1:21" s="424" customFormat="1" ht="24" customHeight="1">
      <c r="A79" s="437" t="s">
        <v>533</v>
      </c>
      <c r="B79" s="451" t="s">
        <v>506</v>
      </c>
      <c r="C79" s="487">
        <v>10921742</v>
      </c>
      <c r="D79" s="445">
        <v>10862652</v>
      </c>
      <c r="E79" s="445">
        <v>59090</v>
      </c>
      <c r="F79" s="445">
        <v>0</v>
      </c>
      <c r="G79" s="445">
        <v>0</v>
      </c>
      <c r="H79" s="487">
        <v>10921742</v>
      </c>
      <c r="I79" s="487">
        <v>8253659</v>
      </c>
      <c r="J79" s="445">
        <v>0</v>
      </c>
      <c r="K79" s="445">
        <v>664987</v>
      </c>
      <c r="L79" s="445">
        <v>0</v>
      </c>
      <c r="M79" s="445">
        <v>7588672</v>
      </c>
      <c r="N79" s="445">
        <v>0</v>
      </c>
      <c r="O79" s="445">
        <v>0</v>
      </c>
      <c r="P79" s="445">
        <v>0</v>
      </c>
      <c r="Q79" s="445">
        <v>0</v>
      </c>
      <c r="R79" s="487">
        <v>2668083</v>
      </c>
      <c r="S79" s="481">
        <f t="shared" si="10"/>
        <v>10256755</v>
      </c>
      <c r="T79" s="422">
        <f t="shared" si="11"/>
        <v>8.056875138650629</v>
      </c>
      <c r="U79" s="411">
        <f t="shared" si="21"/>
        <v>0</v>
      </c>
    </row>
    <row r="80" spans="1:21" s="424" customFormat="1" ht="24" customHeight="1">
      <c r="A80" s="437" t="s">
        <v>534</v>
      </c>
      <c r="B80" s="451" t="s">
        <v>554</v>
      </c>
      <c r="C80" s="487">
        <v>7593435</v>
      </c>
      <c r="D80" s="445">
        <v>7576480</v>
      </c>
      <c r="E80" s="445">
        <v>16955</v>
      </c>
      <c r="F80" s="445">
        <v>0</v>
      </c>
      <c r="G80" s="445">
        <v>0</v>
      </c>
      <c r="H80" s="487">
        <v>7593435</v>
      </c>
      <c r="I80" s="487">
        <v>5806442</v>
      </c>
      <c r="J80" s="445">
        <v>12700</v>
      </c>
      <c r="K80" s="445">
        <v>18100</v>
      </c>
      <c r="L80" s="445">
        <v>0</v>
      </c>
      <c r="M80" s="445">
        <v>4973172</v>
      </c>
      <c r="N80" s="445">
        <v>0</v>
      </c>
      <c r="O80" s="445">
        <v>0</v>
      </c>
      <c r="P80" s="445">
        <v>0</v>
      </c>
      <c r="Q80" s="445">
        <v>802470</v>
      </c>
      <c r="R80" s="487">
        <v>1786993</v>
      </c>
      <c r="S80" s="481">
        <f t="shared" si="10"/>
        <v>7562635</v>
      </c>
      <c r="T80" s="422">
        <f t="shared" si="11"/>
        <v>0.5304453226261452</v>
      </c>
      <c r="U80" s="411">
        <f t="shared" si="21"/>
        <v>0</v>
      </c>
    </row>
    <row r="81" spans="1:21" s="424" customFormat="1" ht="24" customHeight="1">
      <c r="A81" s="437" t="s">
        <v>535</v>
      </c>
      <c r="B81" s="451" t="s">
        <v>507</v>
      </c>
      <c r="C81" s="487">
        <v>36948951</v>
      </c>
      <c r="D81" s="445">
        <v>36792039</v>
      </c>
      <c r="E81" s="445">
        <v>156912</v>
      </c>
      <c r="F81" s="445">
        <v>0</v>
      </c>
      <c r="G81" s="445">
        <v>0</v>
      </c>
      <c r="H81" s="487">
        <v>36948951</v>
      </c>
      <c r="I81" s="487">
        <v>36149887</v>
      </c>
      <c r="J81" s="445">
        <v>0</v>
      </c>
      <c r="K81" s="445">
        <v>0</v>
      </c>
      <c r="L81" s="445">
        <v>0</v>
      </c>
      <c r="M81" s="445">
        <v>36149887</v>
      </c>
      <c r="N81" s="445">
        <v>0</v>
      </c>
      <c r="O81" s="445">
        <v>0</v>
      </c>
      <c r="P81" s="445">
        <v>0</v>
      </c>
      <c r="Q81" s="445">
        <v>0</v>
      </c>
      <c r="R81" s="487">
        <v>799064</v>
      </c>
      <c r="S81" s="481">
        <f t="shared" si="10"/>
        <v>36948951</v>
      </c>
      <c r="T81" s="422">
        <f t="shared" si="11"/>
        <v>0</v>
      </c>
      <c r="U81" s="411">
        <f t="shared" si="21"/>
        <v>0</v>
      </c>
    </row>
    <row r="82" spans="1:21" s="424" customFormat="1" ht="24" customHeight="1">
      <c r="A82" s="437" t="s">
        <v>536</v>
      </c>
      <c r="B82" s="451" t="s">
        <v>509</v>
      </c>
      <c r="C82" s="487">
        <v>76307945</v>
      </c>
      <c r="D82" s="445">
        <v>75536561</v>
      </c>
      <c r="E82" s="445">
        <v>771384</v>
      </c>
      <c r="F82" s="445">
        <v>0</v>
      </c>
      <c r="G82" s="445">
        <v>0</v>
      </c>
      <c r="H82" s="487">
        <v>76307945</v>
      </c>
      <c r="I82" s="487">
        <v>5929902</v>
      </c>
      <c r="J82" s="445">
        <v>6000</v>
      </c>
      <c r="K82" s="445">
        <v>700000</v>
      </c>
      <c r="L82" s="445">
        <v>0</v>
      </c>
      <c r="M82" s="445">
        <v>5223902</v>
      </c>
      <c r="N82" s="445">
        <v>0</v>
      </c>
      <c r="O82" s="445">
        <v>0</v>
      </c>
      <c r="P82" s="445">
        <v>0</v>
      </c>
      <c r="Q82" s="445">
        <v>0</v>
      </c>
      <c r="R82" s="487">
        <v>70378043</v>
      </c>
      <c r="S82" s="481">
        <f t="shared" si="10"/>
        <v>75601945</v>
      </c>
      <c r="T82" s="422">
        <f t="shared" si="11"/>
        <v>11.905761680378529</v>
      </c>
      <c r="U82" s="411">
        <f t="shared" si="21"/>
        <v>0</v>
      </c>
    </row>
    <row r="83" spans="1:21" s="424" customFormat="1" ht="24" customHeight="1">
      <c r="A83" s="437" t="s">
        <v>508</v>
      </c>
      <c r="B83" s="452" t="s">
        <v>555</v>
      </c>
      <c r="C83" s="489">
        <v>28733402</v>
      </c>
      <c r="D83" s="453">
        <v>28521648</v>
      </c>
      <c r="E83" s="453">
        <v>211754</v>
      </c>
      <c r="F83" s="453">
        <v>0</v>
      </c>
      <c r="G83" s="453">
        <v>0</v>
      </c>
      <c r="H83" s="489">
        <v>28733402</v>
      </c>
      <c r="I83" s="489">
        <v>11542490</v>
      </c>
      <c r="J83" s="453">
        <v>64577</v>
      </c>
      <c r="K83" s="453">
        <v>0</v>
      </c>
      <c r="L83" s="453">
        <v>0</v>
      </c>
      <c r="M83" s="453">
        <v>11330360</v>
      </c>
      <c r="N83" s="453">
        <v>147553</v>
      </c>
      <c r="O83" s="453">
        <v>0</v>
      </c>
      <c r="P83" s="453">
        <v>0</v>
      </c>
      <c r="Q83" s="453">
        <v>0</v>
      </c>
      <c r="R83" s="489">
        <v>17190912</v>
      </c>
      <c r="S83" s="481">
        <f t="shared" si="10"/>
        <v>28668825</v>
      </c>
      <c r="T83" s="422">
        <f t="shared" si="11"/>
        <v>0.5594720030080165</v>
      </c>
      <c r="U83" s="411">
        <f t="shared" si="21"/>
        <v>0</v>
      </c>
    </row>
    <row r="84" spans="1:21" s="424" customFormat="1" ht="24" customHeight="1">
      <c r="A84" s="437" t="s">
        <v>510</v>
      </c>
      <c r="B84" s="451" t="s">
        <v>556</v>
      </c>
      <c r="C84" s="487">
        <v>55978437</v>
      </c>
      <c r="D84" s="445">
        <v>55885926</v>
      </c>
      <c r="E84" s="445">
        <v>92511</v>
      </c>
      <c r="F84" s="445">
        <v>0</v>
      </c>
      <c r="G84" s="445">
        <v>0</v>
      </c>
      <c r="H84" s="487">
        <v>55978437</v>
      </c>
      <c r="I84" s="487">
        <v>32346131</v>
      </c>
      <c r="J84" s="445">
        <v>0</v>
      </c>
      <c r="K84" s="445">
        <v>0</v>
      </c>
      <c r="L84" s="445">
        <v>0</v>
      </c>
      <c r="M84" s="445">
        <v>32346131</v>
      </c>
      <c r="N84" s="445">
        <v>0</v>
      </c>
      <c r="O84" s="445">
        <v>0</v>
      </c>
      <c r="P84" s="445">
        <v>0</v>
      </c>
      <c r="Q84" s="445">
        <v>0</v>
      </c>
      <c r="R84" s="487">
        <v>23632306</v>
      </c>
      <c r="S84" s="481">
        <f t="shared" si="10"/>
        <v>55978437</v>
      </c>
      <c r="T84" s="422">
        <f t="shared" si="11"/>
        <v>0</v>
      </c>
      <c r="U84" s="411">
        <f t="shared" si="21"/>
        <v>0</v>
      </c>
    </row>
    <row r="85" spans="1:21" s="424" customFormat="1" ht="24" customHeight="1">
      <c r="A85" s="437" t="s">
        <v>511</v>
      </c>
      <c r="B85" s="451" t="s">
        <v>512</v>
      </c>
      <c r="C85" s="487">
        <v>8934213</v>
      </c>
      <c r="D85" s="445">
        <v>8845125</v>
      </c>
      <c r="E85" s="445">
        <v>89088</v>
      </c>
      <c r="F85" s="445">
        <v>0</v>
      </c>
      <c r="G85" s="445">
        <v>0</v>
      </c>
      <c r="H85" s="487">
        <v>8934213</v>
      </c>
      <c r="I85" s="487">
        <v>6200909</v>
      </c>
      <c r="J85" s="445">
        <v>0</v>
      </c>
      <c r="K85" s="445">
        <v>0</v>
      </c>
      <c r="L85" s="445">
        <v>0</v>
      </c>
      <c r="M85" s="445">
        <v>6200909</v>
      </c>
      <c r="N85" s="445">
        <v>0</v>
      </c>
      <c r="O85" s="445">
        <v>0</v>
      </c>
      <c r="P85" s="445">
        <v>0</v>
      </c>
      <c r="Q85" s="445">
        <v>0</v>
      </c>
      <c r="R85" s="487">
        <v>2733304</v>
      </c>
      <c r="S85" s="481">
        <f t="shared" si="10"/>
        <v>8934213</v>
      </c>
      <c r="T85" s="422">
        <f t="shared" si="11"/>
        <v>0</v>
      </c>
      <c r="U85" s="411">
        <f t="shared" si="21"/>
        <v>0</v>
      </c>
    </row>
    <row r="86" spans="1:21" s="402" customFormat="1" ht="24" customHeight="1">
      <c r="A86" s="400">
        <v>11</v>
      </c>
      <c r="B86" s="404" t="s">
        <v>513</v>
      </c>
      <c r="C86" s="508">
        <f>SUM(C87:C88)</f>
        <v>9543423</v>
      </c>
      <c r="D86" s="401">
        <f aca="true" t="shared" si="22" ref="D86:R86">SUM(D87:D88)</f>
        <v>9423123</v>
      </c>
      <c r="E86" s="401">
        <f t="shared" si="22"/>
        <v>120300</v>
      </c>
      <c r="F86" s="401">
        <f t="shared" si="22"/>
        <v>0</v>
      </c>
      <c r="G86" s="401">
        <f t="shared" si="22"/>
        <v>0</v>
      </c>
      <c r="H86" s="508">
        <f t="shared" si="22"/>
        <v>9543423</v>
      </c>
      <c r="I86" s="508">
        <f t="shared" si="22"/>
        <v>4400358</v>
      </c>
      <c r="J86" s="401">
        <f t="shared" si="22"/>
        <v>28000</v>
      </c>
      <c r="K86" s="401">
        <f t="shared" si="22"/>
        <v>0</v>
      </c>
      <c r="L86" s="401">
        <f t="shared" si="22"/>
        <v>0</v>
      </c>
      <c r="M86" s="401">
        <f t="shared" si="22"/>
        <v>4133284</v>
      </c>
      <c r="N86" s="401">
        <f t="shared" si="22"/>
        <v>0</v>
      </c>
      <c r="O86" s="401">
        <f t="shared" si="22"/>
        <v>0</v>
      </c>
      <c r="P86" s="401">
        <f t="shared" si="22"/>
        <v>0</v>
      </c>
      <c r="Q86" s="401">
        <f t="shared" si="22"/>
        <v>239074</v>
      </c>
      <c r="R86" s="508">
        <f t="shared" si="22"/>
        <v>5143065</v>
      </c>
      <c r="S86" s="508">
        <f t="shared" si="10"/>
        <v>9515423</v>
      </c>
      <c r="T86" s="409">
        <f t="shared" si="11"/>
        <v>0.636311863716543</v>
      </c>
      <c r="U86" s="405">
        <f t="shared" si="21"/>
        <v>0</v>
      </c>
    </row>
    <row r="87" spans="1:21" s="424" customFormat="1" ht="24" customHeight="1">
      <c r="A87" s="437" t="s">
        <v>514</v>
      </c>
      <c r="B87" s="427" t="s">
        <v>515</v>
      </c>
      <c r="C87" s="490">
        <v>5853511</v>
      </c>
      <c r="D87" s="454">
        <v>5762011</v>
      </c>
      <c r="E87" s="454">
        <v>91500</v>
      </c>
      <c r="F87" s="454">
        <v>0</v>
      </c>
      <c r="G87" s="454">
        <v>0</v>
      </c>
      <c r="H87" s="490">
        <v>5853511</v>
      </c>
      <c r="I87" s="490">
        <v>1824597</v>
      </c>
      <c r="J87" s="454">
        <v>900</v>
      </c>
      <c r="K87" s="454">
        <v>0</v>
      </c>
      <c r="L87" s="454">
        <v>0</v>
      </c>
      <c r="M87" s="454">
        <v>1639223</v>
      </c>
      <c r="N87" s="454">
        <v>0</v>
      </c>
      <c r="O87" s="454">
        <v>0</v>
      </c>
      <c r="P87" s="454">
        <v>0</v>
      </c>
      <c r="Q87" s="447">
        <v>184474</v>
      </c>
      <c r="R87" s="504">
        <v>4028914</v>
      </c>
      <c r="S87" s="481">
        <f t="shared" si="10"/>
        <v>5852611</v>
      </c>
      <c r="T87" s="422">
        <f t="shared" si="11"/>
        <v>0.04932596074640044</v>
      </c>
      <c r="U87" s="411">
        <f t="shared" si="21"/>
        <v>0</v>
      </c>
    </row>
    <row r="88" spans="1:21" s="424" customFormat="1" ht="24" customHeight="1">
      <c r="A88" s="437" t="s">
        <v>516</v>
      </c>
      <c r="B88" s="427" t="s">
        <v>517</v>
      </c>
      <c r="C88" s="490">
        <v>3689912</v>
      </c>
      <c r="D88" s="454">
        <v>3661112</v>
      </c>
      <c r="E88" s="454">
        <v>28800</v>
      </c>
      <c r="F88" s="454">
        <v>0</v>
      </c>
      <c r="G88" s="454">
        <v>0</v>
      </c>
      <c r="H88" s="490">
        <v>3689912</v>
      </c>
      <c r="I88" s="490">
        <v>2575761</v>
      </c>
      <c r="J88" s="454">
        <v>27100</v>
      </c>
      <c r="K88" s="454">
        <v>0</v>
      </c>
      <c r="L88" s="454">
        <v>0</v>
      </c>
      <c r="M88" s="454">
        <v>2494061</v>
      </c>
      <c r="N88" s="454">
        <v>0</v>
      </c>
      <c r="O88" s="454">
        <v>0</v>
      </c>
      <c r="P88" s="454">
        <v>0</v>
      </c>
      <c r="Q88" s="447">
        <v>54600</v>
      </c>
      <c r="R88" s="504">
        <v>1114151</v>
      </c>
      <c r="S88" s="481">
        <f t="shared" si="10"/>
        <v>3662812</v>
      </c>
      <c r="T88" s="422">
        <f t="shared" si="11"/>
        <v>1.052116248363105</v>
      </c>
      <c r="U88" s="411">
        <f t="shared" si="21"/>
        <v>0</v>
      </c>
    </row>
    <row r="89" spans="1:21" s="402" customFormat="1" ht="24" customHeight="1">
      <c r="A89" s="400">
        <v>12</v>
      </c>
      <c r="B89" s="404" t="s">
        <v>519</v>
      </c>
      <c r="C89" s="508">
        <f>SUM(C90:C92)</f>
        <v>20331771</v>
      </c>
      <c r="D89" s="401">
        <f aca="true" t="shared" si="23" ref="D89:R89">SUM(D90:D92)</f>
        <v>19340047</v>
      </c>
      <c r="E89" s="401">
        <f t="shared" si="23"/>
        <v>991724</v>
      </c>
      <c r="F89" s="401">
        <f t="shared" si="23"/>
        <v>0</v>
      </c>
      <c r="G89" s="401">
        <f t="shared" si="23"/>
        <v>0</v>
      </c>
      <c r="H89" s="508">
        <f t="shared" si="23"/>
        <v>20331771</v>
      </c>
      <c r="I89" s="508">
        <f t="shared" si="23"/>
        <v>17799388</v>
      </c>
      <c r="J89" s="401">
        <f t="shared" si="23"/>
        <v>153941</v>
      </c>
      <c r="K89" s="401">
        <f t="shared" si="23"/>
        <v>29521</v>
      </c>
      <c r="L89" s="401">
        <f t="shared" si="23"/>
        <v>0</v>
      </c>
      <c r="M89" s="401">
        <f t="shared" si="23"/>
        <v>17615926</v>
      </c>
      <c r="N89" s="401">
        <f t="shared" si="23"/>
        <v>0</v>
      </c>
      <c r="O89" s="401">
        <f t="shared" si="23"/>
        <v>0</v>
      </c>
      <c r="P89" s="401">
        <f t="shared" si="23"/>
        <v>0</v>
      </c>
      <c r="Q89" s="401">
        <f t="shared" si="23"/>
        <v>0</v>
      </c>
      <c r="R89" s="508">
        <f t="shared" si="23"/>
        <v>2532383</v>
      </c>
      <c r="S89" s="508">
        <f t="shared" si="10"/>
        <v>20148309</v>
      </c>
      <c r="T89" s="409">
        <f t="shared" si="11"/>
        <v>1.0307208315252188</v>
      </c>
      <c r="U89" s="405">
        <f t="shared" si="21"/>
        <v>0</v>
      </c>
    </row>
    <row r="90" spans="1:21" s="424" customFormat="1" ht="24" customHeight="1">
      <c r="A90" s="423">
        <v>12.1</v>
      </c>
      <c r="B90" s="455" t="s">
        <v>542</v>
      </c>
      <c r="C90" s="486">
        <f>D90+E90</f>
        <v>5202814</v>
      </c>
      <c r="D90" s="443">
        <v>5158463</v>
      </c>
      <c r="E90" s="443">
        <v>44351</v>
      </c>
      <c r="F90" s="443">
        <v>0</v>
      </c>
      <c r="G90" s="443">
        <v>0</v>
      </c>
      <c r="H90" s="486">
        <f>C90-F90-G90</f>
        <v>5202814</v>
      </c>
      <c r="I90" s="486">
        <f>H90-R90</f>
        <v>5051219</v>
      </c>
      <c r="J90" s="443">
        <v>1900</v>
      </c>
      <c r="K90" s="443">
        <v>0</v>
      </c>
      <c r="L90" s="443"/>
      <c r="M90" s="443">
        <f>I90-J90-K90-N90</f>
        <v>5049319</v>
      </c>
      <c r="N90" s="443"/>
      <c r="O90" s="443"/>
      <c r="P90" s="443"/>
      <c r="Q90" s="443"/>
      <c r="R90" s="486">
        <v>151595</v>
      </c>
      <c r="S90" s="481">
        <f t="shared" si="10"/>
        <v>5200914</v>
      </c>
      <c r="T90" s="422">
        <f t="shared" si="11"/>
        <v>0.0376146827132223</v>
      </c>
      <c r="U90" s="411">
        <f t="shared" si="21"/>
        <v>0</v>
      </c>
    </row>
    <row r="91" spans="1:21" s="424" customFormat="1" ht="24" customHeight="1">
      <c r="A91" s="423">
        <v>12.2</v>
      </c>
      <c r="B91" s="455" t="s">
        <v>582</v>
      </c>
      <c r="C91" s="486">
        <f>D91+E91</f>
        <v>12335334</v>
      </c>
      <c r="D91" s="443">
        <v>11428552</v>
      </c>
      <c r="E91" s="443">
        <v>906782</v>
      </c>
      <c r="F91" s="443">
        <v>0</v>
      </c>
      <c r="G91" s="443">
        <v>0</v>
      </c>
      <c r="H91" s="486">
        <f>C91-F91-G91</f>
        <v>12335334</v>
      </c>
      <c r="I91" s="486">
        <f>H91-R91</f>
        <v>10363495</v>
      </c>
      <c r="J91" s="443">
        <v>26623</v>
      </c>
      <c r="K91" s="443">
        <v>12586</v>
      </c>
      <c r="L91" s="443"/>
      <c r="M91" s="443">
        <v>10324286</v>
      </c>
      <c r="N91" s="443">
        <v>0</v>
      </c>
      <c r="O91" s="443"/>
      <c r="P91" s="443"/>
      <c r="Q91" s="443"/>
      <c r="R91" s="486">
        <v>1971839</v>
      </c>
      <c r="S91" s="481">
        <f t="shared" si="10"/>
        <v>12296125</v>
      </c>
      <c r="T91" s="422">
        <f t="shared" si="11"/>
        <v>0.37833761679819405</v>
      </c>
      <c r="U91" s="411">
        <f t="shared" si="21"/>
        <v>0</v>
      </c>
    </row>
    <row r="92" spans="1:21" s="424" customFormat="1" ht="24" customHeight="1">
      <c r="A92" s="423">
        <v>12.3</v>
      </c>
      <c r="B92" s="455" t="s">
        <v>557</v>
      </c>
      <c r="C92" s="486">
        <f>D92+E92</f>
        <v>2793623</v>
      </c>
      <c r="D92" s="443">
        <v>2753032</v>
      </c>
      <c r="E92" s="443">
        <v>40591</v>
      </c>
      <c r="F92" s="443"/>
      <c r="G92" s="443"/>
      <c r="H92" s="486">
        <f>C92-F92-G92</f>
        <v>2793623</v>
      </c>
      <c r="I92" s="486">
        <f>H92-R92</f>
        <v>2384674</v>
      </c>
      <c r="J92" s="443">
        <v>125418</v>
      </c>
      <c r="K92" s="443">
        <v>16935</v>
      </c>
      <c r="L92" s="443"/>
      <c r="M92" s="443">
        <f>I92-J92-K92-N92</f>
        <v>2242321</v>
      </c>
      <c r="N92" s="443"/>
      <c r="O92" s="443"/>
      <c r="P92" s="443"/>
      <c r="Q92" s="443"/>
      <c r="R92" s="486">
        <v>408949</v>
      </c>
      <c r="S92" s="481">
        <f t="shared" si="10"/>
        <v>2651270</v>
      </c>
      <c r="T92" s="422">
        <f t="shared" si="11"/>
        <v>5.969495201440533</v>
      </c>
      <c r="U92" s="411">
        <f t="shared" si="21"/>
        <v>0</v>
      </c>
    </row>
    <row r="93" spans="1:21" s="402" customFormat="1" ht="24" customHeight="1">
      <c r="A93" s="400">
        <v>13</v>
      </c>
      <c r="B93" s="404" t="s">
        <v>521</v>
      </c>
      <c r="C93" s="508">
        <f>SUM(C94:C103)</f>
        <v>529766697</v>
      </c>
      <c r="D93" s="401">
        <f aca="true" t="shared" si="24" ref="D93:R93">SUM(D94:D103)</f>
        <v>490843881</v>
      </c>
      <c r="E93" s="401">
        <f t="shared" si="24"/>
        <v>38922816</v>
      </c>
      <c r="F93" s="401">
        <f t="shared" si="24"/>
        <v>0</v>
      </c>
      <c r="G93" s="401">
        <f t="shared" si="24"/>
        <v>0</v>
      </c>
      <c r="H93" s="508">
        <f t="shared" si="24"/>
        <v>529766697</v>
      </c>
      <c r="I93" s="508">
        <f t="shared" si="24"/>
        <v>383207430</v>
      </c>
      <c r="J93" s="401">
        <f t="shared" si="24"/>
        <v>8161933</v>
      </c>
      <c r="K93" s="401">
        <f t="shared" si="24"/>
        <v>705212</v>
      </c>
      <c r="L93" s="401">
        <f t="shared" si="24"/>
        <v>0</v>
      </c>
      <c r="M93" s="401">
        <f t="shared" si="24"/>
        <v>374340285</v>
      </c>
      <c r="N93" s="401">
        <f t="shared" si="24"/>
        <v>0</v>
      </c>
      <c r="O93" s="401">
        <f t="shared" si="24"/>
        <v>0</v>
      </c>
      <c r="P93" s="401">
        <f t="shared" si="24"/>
        <v>0</v>
      </c>
      <c r="Q93" s="401">
        <f t="shared" si="24"/>
        <v>0</v>
      </c>
      <c r="R93" s="508">
        <f t="shared" si="24"/>
        <v>146559267</v>
      </c>
      <c r="S93" s="508">
        <f t="shared" si="10"/>
        <v>520899552</v>
      </c>
      <c r="T93" s="409">
        <f t="shared" si="11"/>
        <v>2.313928255514252</v>
      </c>
      <c r="U93" s="405">
        <f t="shared" si="21"/>
        <v>0</v>
      </c>
    </row>
    <row r="94" spans="1:21" s="424" customFormat="1" ht="24" customHeight="1">
      <c r="A94" s="423">
        <v>13.1</v>
      </c>
      <c r="B94" s="456" t="s">
        <v>592</v>
      </c>
      <c r="C94" s="484">
        <f>D94+E94</f>
        <v>71882672</v>
      </c>
      <c r="D94" s="434">
        <v>70063853</v>
      </c>
      <c r="E94" s="434">
        <v>1818819</v>
      </c>
      <c r="F94" s="434">
        <v>0</v>
      </c>
      <c r="G94" s="434">
        <v>0</v>
      </c>
      <c r="H94" s="484">
        <f>I94+R94</f>
        <v>71882672</v>
      </c>
      <c r="I94" s="484">
        <f>J94+K94+L94+M94+N94+O94+P94+Q94</f>
        <v>17786586</v>
      </c>
      <c r="J94" s="434">
        <v>124800</v>
      </c>
      <c r="K94" s="434">
        <v>0</v>
      </c>
      <c r="L94" s="434">
        <v>0</v>
      </c>
      <c r="M94" s="434">
        <v>17661786</v>
      </c>
      <c r="N94" s="434">
        <v>0</v>
      </c>
      <c r="O94" s="434">
        <v>0</v>
      </c>
      <c r="P94" s="434">
        <v>0</v>
      </c>
      <c r="Q94" s="434">
        <v>0</v>
      </c>
      <c r="R94" s="498">
        <v>54096086</v>
      </c>
      <c r="S94" s="481">
        <f t="shared" si="10"/>
        <v>71757872</v>
      </c>
      <c r="T94" s="422">
        <f t="shared" si="11"/>
        <v>0.7016523575687881</v>
      </c>
      <c r="U94" s="411">
        <f t="shared" si="21"/>
        <v>0</v>
      </c>
    </row>
    <row r="95" spans="1:21" s="424" customFormat="1" ht="24" customHeight="1">
      <c r="A95" s="423">
        <v>13.2</v>
      </c>
      <c r="B95" s="456" t="s">
        <v>522</v>
      </c>
      <c r="C95" s="484">
        <f aca="true" t="shared" si="25" ref="C95:C103">D95+E95</f>
        <v>68083481</v>
      </c>
      <c r="D95" s="434">
        <v>45795974</v>
      </c>
      <c r="E95" s="434">
        <v>22287507</v>
      </c>
      <c r="F95" s="434">
        <v>0</v>
      </c>
      <c r="G95" s="434">
        <v>0</v>
      </c>
      <c r="H95" s="484">
        <f aca="true" t="shared" si="26" ref="H95:H103">I95+R95</f>
        <v>68083481</v>
      </c>
      <c r="I95" s="484">
        <f aca="true" t="shared" si="27" ref="I95:I103">J95+K95+L95+M95+N95+O95+P95+Q95</f>
        <v>59525640</v>
      </c>
      <c r="J95" s="434">
        <v>1200</v>
      </c>
      <c r="K95" s="434"/>
      <c r="L95" s="434">
        <v>0</v>
      </c>
      <c r="M95" s="434">
        <v>59524440</v>
      </c>
      <c r="N95" s="434">
        <v>0</v>
      </c>
      <c r="O95" s="434">
        <v>0</v>
      </c>
      <c r="P95" s="434">
        <v>0</v>
      </c>
      <c r="Q95" s="434">
        <v>0</v>
      </c>
      <c r="R95" s="498">
        <v>8557841</v>
      </c>
      <c r="S95" s="481">
        <f t="shared" si="10"/>
        <v>68082281</v>
      </c>
      <c r="T95" s="422">
        <f t="shared" si="11"/>
        <v>0.0020159380058744434</v>
      </c>
      <c r="U95" s="411">
        <f t="shared" si="21"/>
        <v>0</v>
      </c>
    </row>
    <row r="96" spans="1:21" s="424" customFormat="1" ht="24" customHeight="1">
      <c r="A96" s="423">
        <v>13.3</v>
      </c>
      <c r="B96" s="456" t="s">
        <v>558</v>
      </c>
      <c r="C96" s="484">
        <f t="shared" si="25"/>
        <v>116467865</v>
      </c>
      <c r="D96" s="434">
        <v>112976050</v>
      </c>
      <c r="E96" s="434">
        <v>3491815</v>
      </c>
      <c r="F96" s="434"/>
      <c r="G96" s="434">
        <v>0</v>
      </c>
      <c r="H96" s="484">
        <f t="shared" si="26"/>
        <v>116467865</v>
      </c>
      <c r="I96" s="484">
        <f t="shared" si="27"/>
        <v>87412879</v>
      </c>
      <c r="J96" s="434">
        <v>3165877</v>
      </c>
      <c r="K96" s="434"/>
      <c r="L96" s="434">
        <v>0</v>
      </c>
      <c r="M96" s="434">
        <v>84247002</v>
      </c>
      <c r="N96" s="434">
        <v>0</v>
      </c>
      <c r="O96" s="434"/>
      <c r="P96" s="434"/>
      <c r="Q96" s="434">
        <v>0</v>
      </c>
      <c r="R96" s="498">
        <v>29054986</v>
      </c>
      <c r="S96" s="481">
        <f t="shared" si="10"/>
        <v>113301988</v>
      </c>
      <c r="T96" s="422">
        <f t="shared" si="11"/>
        <v>3.6217512067071946</v>
      </c>
      <c r="U96" s="411">
        <f t="shared" si="21"/>
        <v>0</v>
      </c>
    </row>
    <row r="97" spans="1:21" s="424" customFormat="1" ht="24" customHeight="1">
      <c r="A97" s="423">
        <v>13.4</v>
      </c>
      <c r="B97" s="457" t="s">
        <v>559</v>
      </c>
      <c r="C97" s="484">
        <f t="shared" si="25"/>
        <v>60827047</v>
      </c>
      <c r="D97" s="434">
        <v>60364424</v>
      </c>
      <c r="E97" s="434">
        <v>462623</v>
      </c>
      <c r="F97" s="434">
        <v>0</v>
      </c>
      <c r="G97" s="434">
        <v>0</v>
      </c>
      <c r="H97" s="484">
        <f t="shared" si="26"/>
        <v>60827047</v>
      </c>
      <c r="I97" s="484">
        <f t="shared" si="27"/>
        <v>54668204</v>
      </c>
      <c r="J97" s="434">
        <v>3115180</v>
      </c>
      <c r="K97" s="434"/>
      <c r="L97" s="434">
        <v>0</v>
      </c>
      <c r="M97" s="434">
        <v>51553024</v>
      </c>
      <c r="N97" s="434">
        <v>0</v>
      </c>
      <c r="O97" s="434">
        <v>0</v>
      </c>
      <c r="P97" s="434">
        <v>0</v>
      </c>
      <c r="Q97" s="434">
        <v>0</v>
      </c>
      <c r="R97" s="498">
        <v>6158843</v>
      </c>
      <c r="S97" s="481">
        <f aca="true" t="shared" si="28" ref="S97:S111">M97+N97+O97+P97+Q97+R97</f>
        <v>57711867</v>
      </c>
      <c r="T97" s="422">
        <f aca="true" t="shared" si="29" ref="T97:T111">(J97+K97+L97)/I97*100</f>
        <v>5.698339751567475</v>
      </c>
      <c r="U97" s="411">
        <f t="shared" si="21"/>
        <v>0</v>
      </c>
    </row>
    <row r="98" spans="1:21" s="424" customFormat="1" ht="24" customHeight="1">
      <c r="A98" s="423">
        <v>13.5</v>
      </c>
      <c r="B98" s="458" t="s">
        <v>593</v>
      </c>
      <c r="C98" s="484">
        <f t="shared" si="25"/>
        <v>37310062</v>
      </c>
      <c r="D98" s="434">
        <v>37292491</v>
      </c>
      <c r="E98" s="434">
        <v>17571</v>
      </c>
      <c r="F98" s="434"/>
      <c r="G98" s="434"/>
      <c r="H98" s="484">
        <f t="shared" si="26"/>
        <v>37310062</v>
      </c>
      <c r="I98" s="484">
        <f>J98+K98+L98+M98+N98+O98+P98+Q98</f>
        <v>36386483</v>
      </c>
      <c r="J98" s="434">
        <v>20700</v>
      </c>
      <c r="K98" s="434"/>
      <c r="L98" s="434">
        <v>0</v>
      </c>
      <c r="M98" s="434">
        <v>36365783</v>
      </c>
      <c r="N98" s="434">
        <v>0</v>
      </c>
      <c r="O98" s="434"/>
      <c r="P98" s="434">
        <v>0</v>
      </c>
      <c r="Q98" s="434">
        <v>0</v>
      </c>
      <c r="R98" s="498">
        <v>923579</v>
      </c>
      <c r="S98" s="481">
        <f t="shared" si="28"/>
        <v>37289362</v>
      </c>
      <c r="T98" s="422">
        <f t="shared" si="29"/>
        <v>0.05688925747509041</v>
      </c>
      <c r="U98" s="411">
        <f t="shared" si="21"/>
        <v>0</v>
      </c>
    </row>
    <row r="99" spans="1:21" s="424" customFormat="1" ht="24" customHeight="1">
      <c r="A99" s="423">
        <v>13.6</v>
      </c>
      <c r="B99" s="458" t="s">
        <v>560</v>
      </c>
      <c r="C99" s="484">
        <f t="shared" si="25"/>
        <v>44353424</v>
      </c>
      <c r="D99" s="434">
        <v>44303682</v>
      </c>
      <c r="E99" s="434">
        <v>49742</v>
      </c>
      <c r="F99" s="434">
        <v>0</v>
      </c>
      <c r="G99" s="434">
        <v>0</v>
      </c>
      <c r="H99" s="484">
        <f t="shared" si="26"/>
        <v>44353424</v>
      </c>
      <c r="I99" s="484">
        <f t="shared" si="27"/>
        <v>35482918</v>
      </c>
      <c r="J99" s="434">
        <v>20858</v>
      </c>
      <c r="K99" s="434">
        <v>0</v>
      </c>
      <c r="L99" s="434">
        <v>0</v>
      </c>
      <c r="M99" s="434">
        <v>35462060</v>
      </c>
      <c r="N99" s="434">
        <v>0</v>
      </c>
      <c r="O99" s="434"/>
      <c r="P99" s="434">
        <v>0</v>
      </c>
      <c r="Q99" s="434">
        <v>0</v>
      </c>
      <c r="R99" s="498">
        <v>8870506</v>
      </c>
      <c r="S99" s="481">
        <f t="shared" si="28"/>
        <v>44332566</v>
      </c>
      <c r="T99" s="422">
        <f t="shared" si="29"/>
        <v>0.05878321506703592</v>
      </c>
      <c r="U99" s="411">
        <f t="shared" si="21"/>
        <v>0</v>
      </c>
    </row>
    <row r="100" spans="1:21" s="424" customFormat="1" ht="24" customHeight="1">
      <c r="A100" s="423">
        <v>13.7</v>
      </c>
      <c r="B100" s="458" t="s">
        <v>594</v>
      </c>
      <c r="C100" s="484">
        <f t="shared" si="25"/>
        <v>25501586</v>
      </c>
      <c r="D100" s="434">
        <v>20115801</v>
      </c>
      <c r="E100" s="434">
        <v>5385785</v>
      </c>
      <c r="F100" s="434">
        <v>0</v>
      </c>
      <c r="G100" s="434">
        <v>0</v>
      </c>
      <c r="H100" s="484">
        <f t="shared" si="26"/>
        <v>25501586</v>
      </c>
      <c r="I100" s="484">
        <f t="shared" si="27"/>
        <v>23051625</v>
      </c>
      <c r="J100" s="434">
        <v>284400</v>
      </c>
      <c r="K100" s="434"/>
      <c r="L100" s="434">
        <v>0</v>
      </c>
      <c r="M100" s="434">
        <v>22767225</v>
      </c>
      <c r="N100" s="434">
        <v>0</v>
      </c>
      <c r="O100" s="434">
        <v>0</v>
      </c>
      <c r="P100" s="434">
        <v>0</v>
      </c>
      <c r="Q100" s="434">
        <v>0</v>
      </c>
      <c r="R100" s="498">
        <v>2449961</v>
      </c>
      <c r="S100" s="481">
        <f t="shared" si="28"/>
        <v>25217186</v>
      </c>
      <c r="T100" s="422">
        <f t="shared" si="29"/>
        <v>1.233752501179418</v>
      </c>
      <c r="U100" s="411">
        <f t="shared" si="21"/>
        <v>0</v>
      </c>
    </row>
    <row r="101" spans="1:21" s="424" customFormat="1" ht="24" customHeight="1">
      <c r="A101" s="423">
        <v>13.8</v>
      </c>
      <c r="B101" s="456" t="s">
        <v>595</v>
      </c>
      <c r="C101" s="484">
        <f t="shared" si="25"/>
        <v>16766686</v>
      </c>
      <c r="D101" s="434">
        <v>14119271</v>
      </c>
      <c r="E101" s="434">
        <v>2647415</v>
      </c>
      <c r="F101" s="434"/>
      <c r="G101" s="434">
        <v>0</v>
      </c>
      <c r="H101" s="484">
        <f t="shared" si="26"/>
        <v>16766686</v>
      </c>
      <c r="I101" s="484">
        <f t="shared" si="27"/>
        <v>13333815</v>
      </c>
      <c r="J101" s="434">
        <v>2120</v>
      </c>
      <c r="K101" s="434"/>
      <c r="L101" s="434">
        <v>0</v>
      </c>
      <c r="M101" s="434">
        <v>13331695</v>
      </c>
      <c r="N101" s="434">
        <v>0</v>
      </c>
      <c r="O101" s="434">
        <v>0</v>
      </c>
      <c r="P101" s="434">
        <v>0</v>
      </c>
      <c r="Q101" s="434">
        <v>0</v>
      </c>
      <c r="R101" s="498">
        <v>3432871</v>
      </c>
      <c r="S101" s="481">
        <f t="shared" si="28"/>
        <v>16764566</v>
      </c>
      <c r="T101" s="422">
        <f t="shared" si="29"/>
        <v>0.015899425633249</v>
      </c>
      <c r="U101" s="411">
        <f t="shared" si="21"/>
        <v>0</v>
      </c>
    </row>
    <row r="102" spans="1:21" s="424" customFormat="1" ht="24" customHeight="1">
      <c r="A102" s="423">
        <v>13.9</v>
      </c>
      <c r="B102" s="456" t="s">
        <v>561</v>
      </c>
      <c r="C102" s="484">
        <f t="shared" si="25"/>
        <v>56921128</v>
      </c>
      <c r="D102" s="434">
        <v>55697204</v>
      </c>
      <c r="E102" s="434">
        <v>1223924</v>
      </c>
      <c r="F102" s="434">
        <v>0</v>
      </c>
      <c r="G102" s="434">
        <v>0</v>
      </c>
      <c r="H102" s="484">
        <f>I102+R102</f>
        <v>56921128</v>
      </c>
      <c r="I102" s="484">
        <f t="shared" si="27"/>
        <v>37312648</v>
      </c>
      <c r="J102" s="434">
        <v>1413792</v>
      </c>
      <c r="K102" s="434">
        <v>705212</v>
      </c>
      <c r="L102" s="434">
        <v>0</v>
      </c>
      <c r="M102" s="434">
        <v>35193644</v>
      </c>
      <c r="N102" s="434">
        <v>0</v>
      </c>
      <c r="O102" s="434">
        <v>0</v>
      </c>
      <c r="P102" s="434">
        <v>0</v>
      </c>
      <c r="Q102" s="434">
        <v>0</v>
      </c>
      <c r="R102" s="498">
        <v>19608480</v>
      </c>
      <c r="S102" s="481">
        <f t="shared" si="28"/>
        <v>54802124</v>
      </c>
      <c r="T102" s="422">
        <f t="shared" si="29"/>
        <v>5.679050170869674</v>
      </c>
      <c r="U102" s="411">
        <f t="shared" si="21"/>
        <v>0</v>
      </c>
    </row>
    <row r="103" spans="1:21" s="424" customFormat="1" ht="24" customHeight="1">
      <c r="A103" s="423" t="s">
        <v>562</v>
      </c>
      <c r="B103" s="456" t="s">
        <v>462</v>
      </c>
      <c r="C103" s="484">
        <f t="shared" si="25"/>
        <v>31652746</v>
      </c>
      <c r="D103" s="434">
        <v>30115131</v>
      </c>
      <c r="E103" s="434">
        <v>1537615</v>
      </c>
      <c r="F103" s="434">
        <v>0</v>
      </c>
      <c r="G103" s="434">
        <v>0</v>
      </c>
      <c r="H103" s="484">
        <f t="shared" si="26"/>
        <v>31652746</v>
      </c>
      <c r="I103" s="484">
        <f t="shared" si="27"/>
        <v>18246632</v>
      </c>
      <c r="J103" s="434">
        <v>13006</v>
      </c>
      <c r="K103" s="434"/>
      <c r="L103" s="434">
        <v>0</v>
      </c>
      <c r="M103" s="434">
        <v>18233626</v>
      </c>
      <c r="N103" s="434">
        <v>0</v>
      </c>
      <c r="O103" s="434">
        <v>0</v>
      </c>
      <c r="P103" s="434">
        <v>0</v>
      </c>
      <c r="Q103" s="434">
        <v>0</v>
      </c>
      <c r="R103" s="498">
        <v>13406114</v>
      </c>
      <c r="S103" s="481">
        <f t="shared" si="28"/>
        <v>31639740</v>
      </c>
      <c r="T103" s="422">
        <f t="shared" si="29"/>
        <v>0.07127890780062864</v>
      </c>
      <c r="U103" s="411">
        <f t="shared" si="21"/>
        <v>0</v>
      </c>
    </row>
    <row r="104" spans="1:21" s="402" customFormat="1" ht="24" customHeight="1">
      <c r="A104" s="400">
        <v>14</v>
      </c>
      <c r="B104" s="404" t="s">
        <v>523</v>
      </c>
      <c r="C104" s="508">
        <f>SUM(C105:C106)</f>
        <v>16858627</v>
      </c>
      <c r="D104" s="401">
        <f aca="true" t="shared" si="30" ref="D104:R104">SUM(D105:D106)</f>
        <v>14654948</v>
      </c>
      <c r="E104" s="401">
        <f t="shared" si="30"/>
        <v>2203679</v>
      </c>
      <c r="F104" s="401">
        <f t="shared" si="30"/>
        <v>6400</v>
      </c>
      <c r="G104" s="401">
        <f t="shared" si="30"/>
        <v>0</v>
      </c>
      <c r="H104" s="508">
        <f t="shared" si="30"/>
        <v>16852227</v>
      </c>
      <c r="I104" s="508">
        <f t="shared" si="30"/>
        <v>9322849</v>
      </c>
      <c r="J104" s="401">
        <f t="shared" si="30"/>
        <v>122232</v>
      </c>
      <c r="K104" s="401">
        <f t="shared" si="30"/>
        <v>0</v>
      </c>
      <c r="L104" s="401">
        <f t="shared" si="30"/>
        <v>0</v>
      </c>
      <c r="M104" s="401">
        <f t="shared" si="30"/>
        <v>9200617</v>
      </c>
      <c r="N104" s="401">
        <f t="shared" si="30"/>
        <v>0</v>
      </c>
      <c r="O104" s="401">
        <f t="shared" si="30"/>
        <v>0</v>
      </c>
      <c r="P104" s="401">
        <f t="shared" si="30"/>
        <v>0</v>
      </c>
      <c r="Q104" s="401">
        <f t="shared" si="30"/>
        <v>0</v>
      </c>
      <c r="R104" s="508">
        <f t="shared" si="30"/>
        <v>7529378</v>
      </c>
      <c r="S104" s="508">
        <f t="shared" si="28"/>
        <v>16729995</v>
      </c>
      <c r="T104" s="409">
        <f t="shared" si="29"/>
        <v>1.3111013596809302</v>
      </c>
      <c r="U104" s="405">
        <f t="shared" si="21"/>
        <v>0</v>
      </c>
    </row>
    <row r="105" spans="1:21" s="424" customFormat="1" ht="24" customHeight="1">
      <c r="A105" s="437" t="s">
        <v>524</v>
      </c>
      <c r="B105" s="427" t="s">
        <v>525</v>
      </c>
      <c r="C105" s="491">
        <f>D105+E105</f>
        <v>9303542</v>
      </c>
      <c r="D105" s="429">
        <v>8183021</v>
      </c>
      <c r="E105" s="429">
        <v>1120521</v>
      </c>
      <c r="F105" s="429">
        <v>6400</v>
      </c>
      <c r="G105" s="429">
        <v>0</v>
      </c>
      <c r="H105" s="482">
        <f>I105+R105</f>
        <v>9297142</v>
      </c>
      <c r="I105" s="482">
        <f>SUM(J105,K105,L105,M105,N105,O105,P105,Q105)</f>
        <v>3411806</v>
      </c>
      <c r="J105" s="429">
        <v>750</v>
      </c>
      <c r="K105" s="429">
        <v>0</v>
      </c>
      <c r="L105" s="429">
        <v>0</v>
      </c>
      <c r="M105" s="429">
        <v>3411056</v>
      </c>
      <c r="N105" s="429">
        <v>0</v>
      </c>
      <c r="O105" s="459">
        <v>0</v>
      </c>
      <c r="P105" s="460">
        <v>0</v>
      </c>
      <c r="Q105" s="459">
        <v>0</v>
      </c>
      <c r="R105" s="505">
        <v>5885336</v>
      </c>
      <c r="S105" s="506">
        <f>M105+N105+O105+P105+Q105+R105</f>
        <v>9296392</v>
      </c>
      <c r="T105" s="422">
        <f t="shared" si="29"/>
        <v>0.02198249255672802</v>
      </c>
      <c r="U105" s="411">
        <f t="shared" si="21"/>
        <v>0</v>
      </c>
    </row>
    <row r="106" spans="1:21" s="424" customFormat="1" ht="24" customHeight="1">
      <c r="A106" s="437" t="s">
        <v>526</v>
      </c>
      <c r="B106" s="427" t="s">
        <v>527</v>
      </c>
      <c r="C106" s="483">
        <f>D106+E106</f>
        <v>7555085</v>
      </c>
      <c r="D106" s="430">
        <v>6471927</v>
      </c>
      <c r="E106" s="430">
        <v>1083158</v>
      </c>
      <c r="F106" s="430">
        <v>0</v>
      </c>
      <c r="G106" s="430">
        <v>0</v>
      </c>
      <c r="H106" s="482">
        <f>I106+R106</f>
        <v>7555085</v>
      </c>
      <c r="I106" s="483">
        <f>SUM(J106,K106,L106,M106,N106,O106,P106,Q106)</f>
        <v>5911043</v>
      </c>
      <c r="J106" s="430">
        <v>121482</v>
      </c>
      <c r="K106" s="430">
        <v>0</v>
      </c>
      <c r="L106" s="430">
        <v>0</v>
      </c>
      <c r="M106" s="430">
        <v>5789561</v>
      </c>
      <c r="N106" s="430">
        <v>0</v>
      </c>
      <c r="O106" s="432">
        <v>0</v>
      </c>
      <c r="P106" s="461">
        <v>0</v>
      </c>
      <c r="Q106" s="432">
        <v>0</v>
      </c>
      <c r="R106" s="505">
        <v>1644042</v>
      </c>
      <c r="S106" s="506">
        <f>M106+N106+O106+P106+Q106+R106</f>
        <v>7433603</v>
      </c>
      <c r="T106" s="422">
        <f t="shared" si="29"/>
        <v>2.0551702973569976</v>
      </c>
      <c r="U106" s="411">
        <f t="shared" si="21"/>
        <v>0</v>
      </c>
    </row>
    <row r="107" spans="1:21" s="402" customFormat="1" ht="24" customHeight="1">
      <c r="A107" s="400">
        <v>15</v>
      </c>
      <c r="B107" s="404" t="s">
        <v>528</v>
      </c>
      <c r="C107" s="508">
        <f>SUM(C108:C111)</f>
        <v>42205761</v>
      </c>
      <c r="D107" s="401">
        <f aca="true" t="shared" si="31" ref="D107:R107">SUM(D108:D111)</f>
        <v>41245744</v>
      </c>
      <c r="E107" s="401">
        <f t="shared" si="31"/>
        <v>960017</v>
      </c>
      <c r="F107" s="401">
        <f t="shared" si="31"/>
        <v>200</v>
      </c>
      <c r="G107" s="401">
        <f t="shared" si="31"/>
        <v>0</v>
      </c>
      <c r="H107" s="508">
        <f t="shared" si="31"/>
        <v>42205561</v>
      </c>
      <c r="I107" s="508">
        <f t="shared" si="31"/>
        <v>20936357</v>
      </c>
      <c r="J107" s="401">
        <f t="shared" si="31"/>
        <v>3200</v>
      </c>
      <c r="K107" s="401">
        <f t="shared" si="31"/>
        <v>0</v>
      </c>
      <c r="L107" s="401">
        <f t="shared" si="31"/>
        <v>0</v>
      </c>
      <c r="M107" s="401">
        <f t="shared" si="31"/>
        <v>20933157</v>
      </c>
      <c r="N107" s="401">
        <f t="shared" si="31"/>
        <v>0</v>
      </c>
      <c r="O107" s="401">
        <f t="shared" si="31"/>
        <v>0</v>
      </c>
      <c r="P107" s="401">
        <f t="shared" si="31"/>
        <v>0</v>
      </c>
      <c r="Q107" s="401">
        <f t="shared" si="31"/>
        <v>0</v>
      </c>
      <c r="R107" s="508">
        <f t="shared" si="31"/>
        <v>21269204</v>
      </c>
      <c r="S107" s="508">
        <f t="shared" si="28"/>
        <v>42202361</v>
      </c>
      <c r="T107" s="409">
        <f t="shared" si="29"/>
        <v>0.015284416481816776</v>
      </c>
      <c r="U107" s="405">
        <f t="shared" si="21"/>
        <v>0</v>
      </c>
    </row>
    <row r="108" spans="1:21" s="424" customFormat="1" ht="24" customHeight="1">
      <c r="A108" s="423">
        <v>15.1</v>
      </c>
      <c r="B108" s="462" t="s">
        <v>529</v>
      </c>
      <c r="C108" s="483">
        <f>D108+E108</f>
        <v>11085676</v>
      </c>
      <c r="D108" s="430">
        <v>11084876</v>
      </c>
      <c r="E108" s="430">
        <v>800</v>
      </c>
      <c r="F108" s="430">
        <v>200</v>
      </c>
      <c r="G108" s="430">
        <v>0</v>
      </c>
      <c r="H108" s="483">
        <f>C108-F108</f>
        <v>11085476</v>
      </c>
      <c r="I108" s="483">
        <f>H108-R108</f>
        <v>9383967</v>
      </c>
      <c r="J108" s="430">
        <v>600</v>
      </c>
      <c r="K108" s="430">
        <v>0</v>
      </c>
      <c r="L108" s="430">
        <v>0</v>
      </c>
      <c r="M108" s="430">
        <f>I108-J108-K108-L108-N108-O108-P108-Q108</f>
        <v>9383367</v>
      </c>
      <c r="N108" s="430">
        <v>0</v>
      </c>
      <c r="O108" s="430">
        <v>0</v>
      </c>
      <c r="P108" s="430">
        <v>0</v>
      </c>
      <c r="Q108" s="432">
        <v>0</v>
      </c>
      <c r="R108" s="506">
        <v>1701509</v>
      </c>
      <c r="S108" s="481">
        <f t="shared" si="28"/>
        <v>11084876</v>
      </c>
      <c r="T108" s="422">
        <f t="shared" si="29"/>
        <v>0.006393884377470636</v>
      </c>
      <c r="U108" s="411">
        <f t="shared" si="21"/>
        <v>0</v>
      </c>
    </row>
    <row r="109" spans="1:21" s="424" customFormat="1" ht="24" customHeight="1">
      <c r="A109" s="423">
        <v>15.2</v>
      </c>
      <c r="B109" s="462" t="s">
        <v>563</v>
      </c>
      <c r="C109" s="483">
        <f>D109+E109</f>
        <v>10282389</v>
      </c>
      <c r="D109" s="430">
        <v>9472045</v>
      </c>
      <c r="E109" s="430">
        <v>810344</v>
      </c>
      <c r="F109" s="430">
        <v>0</v>
      </c>
      <c r="G109" s="430">
        <v>0</v>
      </c>
      <c r="H109" s="483">
        <f>C109-F109</f>
        <v>10282389</v>
      </c>
      <c r="I109" s="483">
        <f>H109-R109</f>
        <v>9254228</v>
      </c>
      <c r="J109" s="430">
        <v>600</v>
      </c>
      <c r="K109" s="430">
        <v>0</v>
      </c>
      <c r="L109" s="430">
        <v>0</v>
      </c>
      <c r="M109" s="430">
        <f>I109-J109-K109-L109-N109-O109-P109-Q109</f>
        <v>9253628</v>
      </c>
      <c r="N109" s="430">
        <v>0</v>
      </c>
      <c r="O109" s="430">
        <v>0</v>
      </c>
      <c r="P109" s="430">
        <v>0</v>
      </c>
      <c r="Q109" s="432">
        <v>0</v>
      </c>
      <c r="R109" s="506">
        <v>1028161</v>
      </c>
      <c r="S109" s="481">
        <f t="shared" si="28"/>
        <v>10281789</v>
      </c>
      <c r="T109" s="422">
        <f t="shared" si="29"/>
        <v>0.006483522990788643</v>
      </c>
      <c r="U109" s="411">
        <f t="shared" si="21"/>
        <v>0</v>
      </c>
    </row>
    <row r="110" spans="1:21" s="424" customFormat="1" ht="24" customHeight="1">
      <c r="A110" s="423">
        <v>15.3</v>
      </c>
      <c r="B110" s="462" t="s">
        <v>564</v>
      </c>
      <c r="C110" s="483">
        <f>D110+E110</f>
        <v>18412070</v>
      </c>
      <c r="D110" s="430">
        <v>18295870</v>
      </c>
      <c r="E110" s="430">
        <v>116200</v>
      </c>
      <c r="F110" s="430">
        <v>0</v>
      </c>
      <c r="G110" s="430">
        <v>0</v>
      </c>
      <c r="H110" s="483">
        <f>C110-F110</f>
        <v>18412070</v>
      </c>
      <c r="I110" s="483">
        <f>H110-R110</f>
        <v>897899</v>
      </c>
      <c r="J110" s="430">
        <v>1700</v>
      </c>
      <c r="K110" s="430">
        <v>0</v>
      </c>
      <c r="L110" s="430">
        <v>0</v>
      </c>
      <c r="M110" s="430">
        <f>I110-J110-K110-L110-N110-O110-P110-Q110</f>
        <v>896199</v>
      </c>
      <c r="N110" s="430">
        <v>0</v>
      </c>
      <c r="O110" s="430">
        <v>0</v>
      </c>
      <c r="P110" s="430">
        <v>0</v>
      </c>
      <c r="Q110" s="432">
        <v>0</v>
      </c>
      <c r="R110" s="506">
        <v>17514171</v>
      </c>
      <c r="S110" s="481">
        <f t="shared" si="28"/>
        <v>18410370</v>
      </c>
      <c r="T110" s="422">
        <f t="shared" si="29"/>
        <v>0.18933087128953258</v>
      </c>
      <c r="U110" s="411">
        <f t="shared" si="21"/>
        <v>0</v>
      </c>
    </row>
    <row r="111" spans="1:21" s="463" customFormat="1" ht="29.25" customHeight="1">
      <c r="A111" s="423">
        <v>15.4</v>
      </c>
      <c r="B111" s="462" t="s">
        <v>565</v>
      </c>
      <c r="C111" s="483">
        <f>D111+E111</f>
        <v>2425626</v>
      </c>
      <c r="D111" s="430">
        <v>2392953</v>
      </c>
      <c r="E111" s="430">
        <v>32673</v>
      </c>
      <c r="F111" s="430">
        <v>0</v>
      </c>
      <c r="G111" s="430">
        <v>0</v>
      </c>
      <c r="H111" s="483">
        <f>C111-F111</f>
        <v>2425626</v>
      </c>
      <c r="I111" s="483">
        <f>H111-R111</f>
        <v>1400263</v>
      </c>
      <c r="J111" s="430">
        <v>300</v>
      </c>
      <c r="K111" s="430">
        <v>0</v>
      </c>
      <c r="L111" s="430">
        <v>0</v>
      </c>
      <c r="M111" s="430">
        <f>I111-J111-K111-L111-N111-O111-P111-Q111</f>
        <v>1399963</v>
      </c>
      <c r="N111" s="430">
        <v>0</v>
      </c>
      <c r="O111" s="430">
        <v>0</v>
      </c>
      <c r="P111" s="430">
        <v>0</v>
      </c>
      <c r="Q111" s="432">
        <v>0</v>
      </c>
      <c r="R111" s="506">
        <v>1025363</v>
      </c>
      <c r="S111" s="481">
        <f t="shared" si="28"/>
        <v>2425326</v>
      </c>
      <c r="T111" s="422">
        <f t="shared" si="29"/>
        <v>0.021424546674446158</v>
      </c>
      <c r="U111" s="411">
        <f t="shared" si="21"/>
        <v>0</v>
      </c>
    </row>
    <row r="112" spans="1:21" s="463" customFormat="1" ht="19.5" customHeight="1">
      <c r="A112" s="902"/>
      <c r="B112" s="902"/>
      <c r="C112" s="902"/>
      <c r="D112" s="902"/>
      <c r="E112" s="902"/>
      <c r="F112" s="464"/>
      <c r="G112" s="465"/>
      <c r="H112" s="494"/>
      <c r="I112" s="494"/>
      <c r="J112" s="465"/>
      <c r="K112" s="465"/>
      <c r="L112" s="465"/>
      <c r="M112" s="465"/>
      <c r="N112" s="465"/>
      <c r="O112" s="940" t="s">
        <v>599</v>
      </c>
      <c r="P112" s="940"/>
      <c r="Q112" s="940"/>
      <c r="R112" s="940"/>
      <c r="S112" s="940"/>
      <c r="T112" s="940"/>
      <c r="U112" s="466"/>
    </row>
    <row r="113" spans="1:20" ht="18.75">
      <c r="A113" s="467"/>
      <c r="B113" s="901" t="s">
        <v>4</v>
      </c>
      <c r="C113" s="901"/>
      <c r="D113" s="901"/>
      <c r="E113" s="901"/>
      <c r="F113" s="468"/>
      <c r="G113" s="468"/>
      <c r="H113" s="495"/>
      <c r="I113" s="495"/>
      <c r="J113" s="468"/>
      <c r="K113" s="468"/>
      <c r="L113" s="468"/>
      <c r="M113" s="468"/>
      <c r="N113" s="468"/>
      <c r="O113" s="946" t="str">
        <f>'[8]Thong tin'!B7</f>
        <v>
PHÓ CỤC TRƯỞNG</v>
      </c>
      <c r="P113" s="946"/>
      <c r="Q113" s="946"/>
      <c r="R113" s="946"/>
      <c r="S113" s="946"/>
      <c r="T113" s="946"/>
    </row>
    <row r="114" spans="1:20" ht="18.75">
      <c r="A114" s="469"/>
      <c r="B114" s="470"/>
      <c r="C114" s="492"/>
      <c r="D114" s="471"/>
      <c r="E114" s="471"/>
      <c r="F114" s="471"/>
      <c r="G114" s="471"/>
      <c r="H114" s="492"/>
      <c r="I114" s="492"/>
      <c r="J114" s="471"/>
      <c r="K114" s="471"/>
      <c r="L114" s="471"/>
      <c r="M114" s="471"/>
      <c r="N114" s="471"/>
      <c r="O114" s="471"/>
      <c r="P114" s="471"/>
      <c r="Q114" s="471"/>
      <c r="R114" s="492"/>
      <c r="S114" s="492"/>
      <c r="T114" s="472"/>
    </row>
    <row r="115" spans="1:20" ht="18.75">
      <c r="A115" s="473"/>
      <c r="B115" s="897"/>
      <c r="C115" s="897"/>
      <c r="D115" s="897"/>
      <c r="E115" s="471"/>
      <c r="F115" s="471"/>
      <c r="G115" s="471"/>
      <c r="H115" s="492"/>
      <c r="I115" s="492"/>
      <c r="J115" s="471"/>
      <c r="K115" s="471"/>
      <c r="L115" s="471"/>
      <c r="M115" s="471"/>
      <c r="N115" s="471"/>
      <c r="O115" s="471"/>
      <c r="P115" s="471"/>
      <c r="Q115" s="905"/>
      <c r="R115" s="905"/>
      <c r="S115" s="905"/>
      <c r="T115" s="472"/>
    </row>
    <row r="116" spans="1:20" ht="15.75" customHeight="1">
      <c r="A116" s="474"/>
      <c r="B116" s="470"/>
      <c r="C116" s="492"/>
      <c r="D116" s="471"/>
      <c r="E116" s="471"/>
      <c r="F116" s="471"/>
      <c r="G116" s="471"/>
      <c r="H116" s="492"/>
      <c r="I116" s="492"/>
      <c r="J116" s="471"/>
      <c r="K116" s="471"/>
      <c r="L116" s="471"/>
      <c r="M116" s="471"/>
      <c r="N116" s="471"/>
      <c r="O116" s="471"/>
      <c r="P116" s="471"/>
      <c r="Q116" s="471"/>
      <c r="R116" s="492"/>
      <c r="S116" s="492"/>
      <c r="T116" s="472"/>
    </row>
    <row r="117" spans="1:20" ht="15.75" customHeight="1">
      <c r="A117" s="473"/>
      <c r="B117" s="897"/>
      <c r="C117" s="897"/>
      <c r="D117" s="897"/>
      <c r="E117" s="897"/>
      <c r="F117" s="897"/>
      <c r="G117" s="897"/>
      <c r="H117" s="897"/>
      <c r="I117" s="897"/>
      <c r="J117" s="897"/>
      <c r="K117" s="897"/>
      <c r="L117" s="897"/>
      <c r="M117" s="897"/>
      <c r="N117" s="897"/>
      <c r="O117" s="897"/>
      <c r="P117" s="897"/>
      <c r="Q117" s="471"/>
      <c r="R117" s="492"/>
      <c r="S117" s="492"/>
      <c r="T117" s="472"/>
    </row>
    <row r="118" spans="1:20" ht="18.75">
      <c r="A118" s="475"/>
      <c r="B118" s="476"/>
      <c r="C118" s="493"/>
      <c r="D118" s="477"/>
      <c r="E118" s="477"/>
      <c r="F118" s="477"/>
      <c r="G118" s="477"/>
      <c r="H118" s="493"/>
      <c r="I118" s="493"/>
      <c r="J118" s="477"/>
      <c r="K118" s="477"/>
      <c r="L118" s="477"/>
      <c r="M118" s="477"/>
      <c r="N118" s="477"/>
      <c r="O118" s="477"/>
      <c r="P118" s="477"/>
      <c r="Q118" s="477"/>
      <c r="R118" s="492"/>
      <c r="S118" s="492"/>
      <c r="T118" s="472"/>
    </row>
    <row r="119" spans="1:20" ht="18.75">
      <c r="A119" s="473"/>
      <c r="B119" s="897" t="str">
        <f>'Thong tin'!B5</f>
        <v>Trần Thị Minh</v>
      </c>
      <c r="C119" s="897"/>
      <c r="D119" s="897"/>
      <c r="E119" s="897"/>
      <c r="F119" s="471"/>
      <c r="G119" s="471"/>
      <c r="H119" s="492"/>
      <c r="I119" s="492"/>
      <c r="J119" s="471"/>
      <c r="K119" s="471"/>
      <c r="L119" s="471"/>
      <c r="M119" s="471"/>
      <c r="N119" s="471"/>
      <c r="O119" s="897" t="str">
        <f>'Thong tin'!B6</f>
        <v>Nguyễn Thị Mai Hoa</v>
      </c>
      <c r="P119" s="897"/>
      <c r="Q119" s="897"/>
      <c r="R119" s="897"/>
      <c r="S119" s="897"/>
      <c r="T119" s="897"/>
    </row>
    <row r="120" spans="2:20" ht="18.75">
      <c r="B120" s="898"/>
      <c r="C120" s="898"/>
      <c r="D120" s="898"/>
      <c r="E120" s="898"/>
      <c r="P120" s="898"/>
      <c r="Q120" s="898"/>
      <c r="R120" s="898"/>
      <c r="S120" s="898"/>
      <c r="T120" s="899"/>
    </row>
  </sheetData>
  <sheetProtection/>
  <mergeCells count="37">
    <mergeCell ref="Q115:S115"/>
    <mergeCell ref="B115:D115"/>
    <mergeCell ref="A11:B11"/>
    <mergeCell ref="B120:E120"/>
    <mergeCell ref="P120:T120"/>
    <mergeCell ref="B119:E119"/>
    <mergeCell ref="B117:P117"/>
    <mergeCell ref="O119:T119"/>
    <mergeCell ref="O113:T113"/>
    <mergeCell ref="B113:E113"/>
    <mergeCell ref="A10:B10"/>
    <mergeCell ref="E8:E9"/>
    <mergeCell ref="A6:B9"/>
    <mergeCell ref="O112:T112"/>
    <mergeCell ref="T6:T9"/>
    <mergeCell ref="I7:Q7"/>
    <mergeCell ref="S6:S9"/>
    <mergeCell ref="A112:E112"/>
    <mergeCell ref="E1:P1"/>
    <mergeCell ref="E2:P2"/>
    <mergeCell ref="E3:P3"/>
    <mergeCell ref="D7:E7"/>
    <mergeCell ref="C6:E6"/>
    <mergeCell ref="C7:C9"/>
    <mergeCell ref="A2:D2"/>
    <mergeCell ref="J8:Q8"/>
    <mergeCell ref="H7:H9"/>
    <mergeCell ref="D8:D9"/>
    <mergeCell ref="Q2:T2"/>
    <mergeCell ref="Q4:T4"/>
    <mergeCell ref="A3:D3"/>
    <mergeCell ref="R7:R9"/>
    <mergeCell ref="I8:I9"/>
    <mergeCell ref="F6:F9"/>
    <mergeCell ref="G6:G9"/>
    <mergeCell ref="H6:R6"/>
    <mergeCell ref="Q5:T5"/>
  </mergeCells>
  <conditionalFormatting sqref="C87:C88">
    <cfRule type="expression" priority="1" dxfId="0" stopIfTrue="1">
      <formula>$C$16&lt;&gt;$F$16+$H$16</formula>
    </cfRule>
  </conditionalFormatting>
  <printOptions/>
  <pageMargins left="0.24" right="0" top="0" bottom="0" header="0.511811023622047" footer="0.275590551181102"/>
  <pageSetup horizontalDpi="600" verticalDpi="600" orientation="landscape" paperSize="9" scale="76" r:id="rId2"/>
  <headerFooter alignWithMargins="0">
    <oddFooter>&amp;CPage &amp;P</oddFooter>
  </headerFooter>
  <ignoredErrors>
    <ignoredError sqref="D32:R32 D89:R89 I43:I44 D68:S68 D72:S72" formulaRange="1"/>
    <ignoredError sqref="C69:R71 C90:R92 C56:H60 J56:T60" unlockedFormula="1"/>
    <ignoredError sqref="T45:T46" evalError="1"/>
    <ignoredError sqref="C93:R93 C104:S107 C42:H42 C45:R45" formula="1"/>
    <ignoredError sqref="I56:I60" formulaRange="1" unlockedFormula="1"/>
  </ignoredErrors>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39" t="s">
        <v>29</v>
      </c>
      <c r="B1" s="639"/>
      <c r="C1" s="639"/>
      <c r="D1" s="639"/>
      <c r="E1" s="638" t="s">
        <v>371</v>
      </c>
      <c r="F1" s="638"/>
      <c r="G1" s="638"/>
      <c r="H1" s="638"/>
      <c r="I1" s="638"/>
      <c r="J1" s="638"/>
      <c r="K1" s="638"/>
      <c r="L1" s="31" t="s">
        <v>347</v>
      </c>
      <c r="M1" s="31"/>
      <c r="N1" s="31"/>
      <c r="O1" s="32"/>
      <c r="P1" s="32"/>
    </row>
    <row r="2" spans="1:16" ht="15.75" customHeight="1">
      <c r="A2" s="641" t="s">
        <v>238</v>
      </c>
      <c r="B2" s="641"/>
      <c r="C2" s="641"/>
      <c r="D2" s="641"/>
      <c r="E2" s="638"/>
      <c r="F2" s="638"/>
      <c r="G2" s="638"/>
      <c r="H2" s="638"/>
      <c r="I2" s="638"/>
      <c r="J2" s="638"/>
      <c r="K2" s="638"/>
      <c r="L2" s="642" t="s">
        <v>250</v>
      </c>
      <c r="M2" s="642"/>
      <c r="N2" s="642"/>
      <c r="O2" s="35"/>
      <c r="P2" s="32"/>
    </row>
    <row r="3" spans="1:16" ht="18" customHeight="1">
      <c r="A3" s="641" t="s">
        <v>239</v>
      </c>
      <c r="B3" s="641"/>
      <c r="C3" s="641"/>
      <c r="D3" s="641"/>
      <c r="E3" s="640" t="s">
        <v>367</v>
      </c>
      <c r="F3" s="640"/>
      <c r="G3" s="640"/>
      <c r="H3" s="640"/>
      <c r="I3" s="640"/>
      <c r="J3" s="640"/>
      <c r="K3" s="36"/>
      <c r="L3" s="643" t="s">
        <v>366</v>
      </c>
      <c r="M3" s="643"/>
      <c r="N3" s="643"/>
      <c r="O3" s="32"/>
      <c r="P3" s="32"/>
    </row>
    <row r="4" spans="1:16" ht="21" customHeight="1">
      <c r="A4" s="644" t="s">
        <v>253</v>
      </c>
      <c r="B4" s="644"/>
      <c r="C4" s="644"/>
      <c r="D4" s="644"/>
      <c r="E4" s="39"/>
      <c r="F4" s="40"/>
      <c r="G4" s="41"/>
      <c r="H4" s="41"/>
      <c r="I4" s="41"/>
      <c r="J4" s="41"/>
      <c r="K4" s="32"/>
      <c r="L4" s="642" t="s">
        <v>245</v>
      </c>
      <c r="M4" s="642"/>
      <c r="N4" s="642"/>
      <c r="O4" s="35"/>
      <c r="P4" s="32"/>
    </row>
    <row r="5" spans="1:16" ht="18" customHeight="1">
      <c r="A5" s="41"/>
      <c r="B5" s="32"/>
      <c r="C5" s="42"/>
      <c r="D5" s="628"/>
      <c r="E5" s="628"/>
      <c r="F5" s="628"/>
      <c r="G5" s="628"/>
      <c r="H5" s="628"/>
      <c r="I5" s="628"/>
      <c r="J5" s="628"/>
      <c r="K5" s="628"/>
      <c r="L5" s="43" t="s">
        <v>254</v>
      </c>
      <c r="M5" s="43"/>
      <c r="N5" s="43"/>
      <c r="O5" s="32"/>
      <c r="P5" s="32"/>
    </row>
    <row r="6" spans="1:18" ht="33" customHeight="1">
      <c r="A6" s="658" t="s">
        <v>55</v>
      </c>
      <c r="B6" s="659"/>
      <c r="C6" s="629" t="s">
        <v>255</v>
      </c>
      <c r="D6" s="629"/>
      <c r="E6" s="629"/>
      <c r="F6" s="629"/>
      <c r="G6" s="630" t="s">
        <v>7</v>
      </c>
      <c r="H6" s="631"/>
      <c r="I6" s="631"/>
      <c r="J6" s="631"/>
      <c r="K6" s="631"/>
      <c r="L6" s="631"/>
      <c r="M6" s="631"/>
      <c r="N6" s="632"/>
      <c r="O6" s="625" t="s">
        <v>256</v>
      </c>
      <c r="P6" s="626"/>
      <c r="Q6" s="626"/>
      <c r="R6" s="627"/>
    </row>
    <row r="7" spans="1:18" ht="29.25" customHeight="1">
      <c r="A7" s="660"/>
      <c r="B7" s="661"/>
      <c r="C7" s="629"/>
      <c r="D7" s="629"/>
      <c r="E7" s="629"/>
      <c r="F7" s="629"/>
      <c r="G7" s="630" t="s">
        <v>257</v>
      </c>
      <c r="H7" s="631"/>
      <c r="I7" s="631"/>
      <c r="J7" s="632"/>
      <c r="K7" s="630" t="s">
        <v>90</v>
      </c>
      <c r="L7" s="631"/>
      <c r="M7" s="631"/>
      <c r="N7" s="632"/>
      <c r="O7" s="45" t="s">
        <v>258</v>
      </c>
      <c r="P7" s="45" t="s">
        <v>259</v>
      </c>
      <c r="Q7" s="633" t="s">
        <v>260</v>
      </c>
      <c r="R7" s="633" t="s">
        <v>261</v>
      </c>
    </row>
    <row r="8" spans="1:18" ht="26.25" customHeight="1">
      <c r="A8" s="660"/>
      <c r="B8" s="661"/>
      <c r="C8" s="648" t="s">
        <v>87</v>
      </c>
      <c r="D8" s="652"/>
      <c r="E8" s="648" t="s">
        <v>86</v>
      </c>
      <c r="F8" s="652"/>
      <c r="G8" s="648" t="s">
        <v>88</v>
      </c>
      <c r="H8" s="649"/>
      <c r="I8" s="648" t="s">
        <v>89</v>
      </c>
      <c r="J8" s="649"/>
      <c r="K8" s="648" t="s">
        <v>91</v>
      </c>
      <c r="L8" s="649"/>
      <c r="M8" s="648" t="s">
        <v>92</v>
      </c>
      <c r="N8" s="649"/>
      <c r="O8" s="635" t="s">
        <v>262</v>
      </c>
      <c r="P8" s="636" t="s">
        <v>263</v>
      </c>
      <c r="Q8" s="633"/>
      <c r="R8" s="633"/>
    </row>
    <row r="9" spans="1:18" ht="30.75" customHeight="1">
      <c r="A9" s="660"/>
      <c r="B9" s="661"/>
      <c r="C9" s="46" t="s">
        <v>3</v>
      </c>
      <c r="D9" s="44" t="s">
        <v>9</v>
      </c>
      <c r="E9" s="44" t="s">
        <v>3</v>
      </c>
      <c r="F9" s="44" t="s">
        <v>9</v>
      </c>
      <c r="G9" s="47" t="s">
        <v>3</v>
      </c>
      <c r="H9" s="47" t="s">
        <v>9</v>
      </c>
      <c r="I9" s="47" t="s">
        <v>3</v>
      </c>
      <c r="J9" s="47" t="s">
        <v>9</v>
      </c>
      <c r="K9" s="47" t="s">
        <v>3</v>
      </c>
      <c r="L9" s="47" t="s">
        <v>9</v>
      </c>
      <c r="M9" s="47" t="s">
        <v>3</v>
      </c>
      <c r="N9" s="47" t="s">
        <v>9</v>
      </c>
      <c r="O9" s="635"/>
      <c r="P9" s="637"/>
      <c r="Q9" s="634"/>
      <c r="R9" s="634"/>
    </row>
    <row r="10" spans="1:18" s="52" customFormat="1" ht="18" customHeight="1">
      <c r="A10" s="657" t="s">
        <v>6</v>
      </c>
      <c r="B10" s="657"/>
      <c r="C10" s="48">
        <v>1</v>
      </c>
      <c r="D10" s="48">
        <v>2</v>
      </c>
      <c r="E10" s="48">
        <v>3</v>
      </c>
      <c r="F10" s="48">
        <v>4</v>
      </c>
      <c r="G10" s="48">
        <v>5</v>
      </c>
      <c r="H10" s="48">
        <v>6</v>
      </c>
      <c r="I10" s="48">
        <v>7</v>
      </c>
      <c r="J10" s="48">
        <v>8</v>
      </c>
      <c r="K10" s="48">
        <v>9</v>
      </c>
      <c r="L10" s="48">
        <v>10</v>
      </c>
      <c r="M10" s="48">
        <v>11</v>
      </c>
      <c r="N10" s="48">
        <v>12</v>
      </c>
      <c r="O10" s="49" t="s">
        <v>84</v>
      </c>
      <c r="P10" s="49" t="s">
        <v>85</v>
      </c>
      <c r="Q10" s="50"/>
      <c r="R10" s="51"/>
    </row>
    <row r="11" spans="1:18" s="52" customFormat="1" ht="18" customHeight="1" hidden="1">
      <c r="A11" s="653" t="s">
        <v>264</v>
      </c>
      <c r="B11" s="654"/>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55" t="s">
        <v>368</v>
      </c>
      <c r="B12" s="656"/>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45" t="s">
        <v>31</v>
      </c>
      <c r="B13" s="646"/>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265</v>
      </c>
    </row>
    <row r="14" spans="1:37" s="52" customFormat="1" ht="18" customHeight="1">
      <c r="A14" s="59" t="s">
        <v>0</v>
      </c>
      <c r="B14" s="60" t="s">
        <v>78</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266</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267</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268</v>
      </c>
    </row>
    <row r="18" spans="1:18" s="70" customFormat="1" ht="18" customHeight="1">
      <c r="A18" s="66" t="s">
        <v>47</v>
      </c>
      <c r="B18" s="67" t="s">
        <v>269</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56</v>
      </c>
      <c r="B19" s="67" t="s">
        <v>270</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57</v>
      </c>
      <c r="B20" s="71" t="s">
        <v>271</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58</v>
      </c>
      <c r="B21" s="67" t="s">
        <v>272</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273</v>
      </c>
      <c r="AK21" s="52" t="s">
        <v>274</v>
      </c>
      <c r="AL21" s="52" t="s">
        <v>275</v>
      </c>
      <c r="AM21" s="63" t="s">
        <v>276</v>
      </c>
    </row>
    <row r="22" spans="1:39" s="52" customFormat="1" ht="18" customHeight="1">
      <c r="A22" s="66" t="s">
        <v>59</v>
      </c>
      <c r="B22" s="67" t="s">
        <v>277</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278</v>
      </c>
    </row>
    <row r="23" spans="1:18" s="52" customFormat="1" ht="18" customHeight="1">
      <c r="A23" s="66" t="s">
        <v>60</v>
      </c>
      <c r="B23" s="67" t="s">
        <v>279</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61</v>
      </c>
      <c r="B24" s="67" t="s">
        <v>280</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273</v>
      </c>
    </row>
    <row r="25" spans="1:36" s="52" customFormat="1" ht="18" customHeight="1">
      <c r="A25" s="66" t="s">
        <v>81</v>
      </c>
      <c r="B25" s="67" t="s">
        <v>281</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282</v>
      </c>
    </row>
    <row r="26" spans="1:44" s="52" customFormat="1" ht="18" customHeight="1">
      <c r="A26" s="66" t="s">
        <v>82</v>
      </c>
      <c r="B26" s="67" t="s">
        <v>283</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47" t="s">
        <v>369</v>
      </c>
      <c r="C28" s="647"/>
      <c r="D28" s="647"/>
      <c r="E28" s="647"/>
      <c r="F28" s="75"/>
      <c r="G28" s="76"/>
      <c r="H28" s="76"/>
      <c r="I28" s="76"/>
      <c r="J28" s="647" t="s">
        <v>370</v>
      </c>
      <c r="K28" s="647"/>
      <c r="L28" s="647"/>
      <c r="M28" s="647"/>
      <c r="N28" s="647"/>
      <c r="O28" s="77"/>
      <c r="P28" s="77"/>
      <c r="AG28" s="78" t="s">
        <v>285</v>
      </c>
      <c r="AI28" s="79">
        <f>82/88</f>
        <v>0.9318181818181818</v>
      </c>
    </row>
    <row r="29" spans="1:16" s="85" customFormat="1" ht="19.5" customHeight="1">
      <c r="A29" s="80"/>
      <c r="B29" s="622" t="s">
        <v>35</v>
      </c>
      <c r="C29" s="622"/>
      <c r="D29" s="622"/>
      <c r="E29" s="622"/>
      <c r="F29" s="82"/>
      <c r="G29" s="83"/>
      <c r="H29" s="83"/>
      <c r="I29" s="83"/>
      <c r="J29" s="622" t="s">
        <v>286</v>
      </c>
      <c r="K29" s="622"/>
      <c r="L29" s="622"/>
      <c r="M29" s="622"/>
      <c r="N29" s="622"/>
      <c r="O29" s="84"/>
      <c r="P29" s="84"/>
    </row>
    <row r="30" spans="1:16" s="85" customFormat="1" ht="19.5" customHeight="1">
      <c r="A30" s="80"/>
      <c r="B30" s="620"/>
      <c r="C30" s="620"/>
      <c r="D30" s="620"/>
      <c r="E30" s="82"/>
      <c r="F30" s="82"/>
      <c r="G30" s="83"/>
      <c r="H30" s="83"/>
      <c r="I30" s="83"/>
      <c r="J30" s="621"/>
      <c r="K30" s="621"/>
      <c r="L30" s="621"/>
      <c r="M30" s="621"/>
      <c r="N30" s="621"/>
      <c r="O30" s="84"/>
      <c r="P30" s="84"/>
    </row>
    <row r="31" spans="1:16" s="85" customFormat="1" ht="8.25" customHeight="1">
      <c r="A31" s="80"/>
      <c r="B31" s="86"/>
      <c r="C31" s="86" t="s">
        <v>83</v>
      </c>
      <c r="D31" s="86"/>
      <c r="E31" s="87"/>
      <c r="F31" s="87"/>
      <c r="G31" s="88"/>
      <c r="H31" s="88"/>
      <c r="I31" s="88"/>
      <c r="J31" s="86"/>
      <c r="K31" s="86"/>
      <c r="L31" s="86"/>
      <c r="M31" s="86"/>
      <c r="N31" s="86"/>
      <c r="O31" s="84"/>
      <c r="P31" s="84"/>
    </row>
    <row r="32" spans="1:16" s="85" customFormat="1" ht="9" customHeight="1">
      <c r="A32" s="80"/>
      <c r="B32" s="624" t="s">
        <v>287</v>
      </c>
      <c r="C32" s="624"/>
      <c r="D32" s="624"/>
      <c r="E32" s="624"/>
      <c r="F32" s="87"/>
      <c r="G32" s="88"/>
      <c r="H32" s="88"/>
      <c r="I32" s="88"/>
      <c r="J32" s="623" t="s">
        <v>287</v>
      </c>
      <c r="K32" s="623"/>
      <c r="L32" s="623"/>
      <c r="M32" s="623"/>
      <c r="N32" s="623"/>
      <c r="O32" s="84"/>
      <c r="P32" s="84"/>
    </row>
    <row r="33" spans="1:16" s="85" customFormat="1" ht="19.5" customHeight="1">
      <c r="A33" s="80"/>
      <c r="B33" s="622" t="s">
        <v>288</v>
      </c>
      <c r="C33" s="622"/>
      <c r="D33" s="622"/>
      <c r="E33" s="622"/>
      <c r="F33" s="82"/>
      <c r="G33" s="83"/>
      <c r="H33" s="83"/>
      <c r="I33" s="83"/>
      <c r="J33" s="81"/>
      <c r="K33" s="622" t="s">
        <v>288</v>
      </c>
      <c r="L33" s="622"/>
      <c r="M33" s="622"/>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50" t="s">
        <v>241</v>
      </c>
      <c r="C36" s="650"/>
      <c r="D36" s="650"/>
      <c r="E36" s="650"/>
      <c r="F36" s="91"/>
      <c r="G36" s="91"/>
      <c r="H36" s="91"/>
      <c r="I36" s="91"/>
      <c r="J36" s="651" t="s">
        <v>242</v>
      </c>
      <c r="K36" s="651"/>
      <c r="L36" s="651"/>
      <c r="M36" s="651"/>
      <c r="N36" s="651"/>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6:E36"/>
    <mergeCell ref="J36:N36"/>
    <mergeCell ref="B29:E29"/>
    <mergeCell ref="E8:F8"/>
    <mergeCell ref="G8:H8"/>
    <mergeCell ref="C8:D8"/>
    <mergeCell ref="A11:B11"/>
    <mergeCell ref="A12:B12"/>
    <mergeCell ref="A10:B10"/>
    <mergeCell ref="A6:B9"/>
    <mergeCell ref="A13:B13"/>
    <mergeCell ref="B28:E28"/>
    <mergeCell ref="K7:N7"/>
    <mergeCell ref="I8:J8"/>
    <mergeCell ref="M8:N8"/>
    <mergeCell ref="G7:J7"/>
    <mergeCell ref="J28:N28"/>
    <mergeCell ref="K8:L8"/>
    <mergeCell ref="J29:N29"/>
    <mergeCell ref="E1:K2"/>
    <mergeCell ref="A1:D1"/>
    <mergeCell ref="E3:J3"/>
    <mergeCell ref="A3:D3"/>
    <mergeCell ref="L4:N4"/>
    <mergeCell ref="A2:D2"/>
    <mergeCell ref="L2:N2"/>
    <mergeCell ref="L3:N3"/>
    <mergeCell ref="A4:D4"/>
    <mergeCell ref="O6:R6"/>
    <mergeCell ref="D5:K5"/>
    <mergeCell ref="C6:F7"/>
    <mergeCell ref="G6:N6"/>
    <mergeCell ref="R7:R9"/>
    <mergeCell ref="Q7:Q9"/>
    <mergeCell ref="O8:O9"/>
    <mergeCell ref="P8:P9"/>
    <mergeCell ref="B30:D30"/>
    <mergeCell ref="J30:N30"/>
    <mergeCell ref="B33:E33"/>
    <mergeCell ref="K33:M33"/>
    <mergeCell ref="J32:N32"/>
    <mergeCell ref="B32:E32"/>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62" t="s">
        <v>26</v>
      </c>
      <c r="B1" s="662"/>
      <c r="C1" s="98"/>
      <c r="D1" s="669" t="s">
        <v>348</v>
      </c>
      <c r="E1" s="669"/>
      <c r="F1" s="669"/>
      <c r="G1" s="669"/>
      <c r="H1" s="669"/>
      <c r="I1" s="669"/>
      <c r="J1" s="669"/>
      <c r="K1" s="669"/>
      <c r="L1" s="669"/>
      <c r="M1" s="687" t="s">
        <v>289</v>
      </c>
      <c r="N1" s="688"/>
      <c r="O1" s="688"/>
      <c r="P1" s="688"/>
    </row>
    <row r="2" spans="1:16" s="42" customFormat="1" ht="34.5" customHeight="1">
      <c r="A2" s="668" t="s">
        <v>290</v>
      </c>
      <c r="B2" s="668"/>
      <c r="C2" s="668"/>
      <c r="D2" s="669"/>
      <c r="E2" s="669"/>
      <c r="F2" s="669"/>
      <c r="G2" s="669"/>
      <c r="H2" s="669"/>
      <c r="I2" s="669"/>
      <c r="J2" s="669"/>
      <c r="K2" s="669"/>
      <c r="L2" s="669"/>
      <c r="M2" s="689" t="s">
        <v>349</v>
      </c>
      <c r="N2" s="690"/>
      <c r="O2" s="690"/>
      <c r="P2" s="690"/>
    </row>
    <row r="3" spans="1:16" s="42" customFormat="1" ht="19.5" customHeight="1">
      <c r="A3" s="667" t="s">
        <v>291</v>
      </c>
      <c r="B3" s="667"/>
      <c r="C3" s="667"/>
      <c r="D3" s="669"/>
      <c r="E3" s="669"/>
      <c r="F3" s="669"/>
      <c r="G3" s="669"/>
      <c r="H3" s="669"/>
      <c r="I3" s="669"/>
      <c r="J3" s="669"/>
      <c r="K3" s="669"/>
      <c r="L3" s="669"/>
      <c r="M3" s="689" t="s">
        <v>292</v>
      </c>
      <c r="N3" s="690"/>
      <c r="O3" s="690"/>
      <c r="P3" s="690"/>
    </row>
    <row r="4" spans="1:16" s="103" customFormat="1" ht="18.75" customHeight="1">
      <c r="A4" s="99"/>
      <c r="B4" s="99"/>
      <c r="C4" s="100"/>
      <c r="D4" s="628"/>
      <c r="E4" s="628"/>
      <c r="F4" s="628"/>
      <c r="G4" s="628"/>
      <c r="H4" s="628"/>
      <c r="I4" s="628"/>
      <c r="J4" s="628"/>
      <c r="K4" s="628"/>
      <c r="L4" s="628"/>
      <c r="M4" s="101" t="s">
        <v>293</v>
      </c>
      <c r="N4" s="102"/>
      <c r="O4" s="102"/>
      <c r="P4" s="102"/>
    </row>
    <row r="5" spans="1:16" ht="49.5" customHeight="1">
      <c r="A5" s="674" t="s">
        <v>55</v>
      </c>
      <c r="B5" s="675"/>
      <c r="C5" s="664" t="s">
        <v>80</v>
      </c>
      <c r="D5" s="665"/>
      <c r="E5" s="665"/>
      <c r="F5" s="665"/>
      <c r="G5" s="665"/>
      <c r="H5" s="665"/>
      <c r="I5" s="665"/>
      <c r="J5" s="665"/>
      <c r="K5" s="663" t="s">
        <v>79</v>
      </c>
      <c r="L5" s="663"/>
      <c r="M5" s="663"/>
      <c r="N5" s="663"/>
      <c r="O5" s="663"/>
      <c r="P5" s="663"/>
    </row>
    <row r="6" spans="1:16" ht="20.25" customHeight="1">
      <c r="A6" s="676"/>
      <c r="B6" s="677"/>
      <c r="C6" s="664" t="s">
        <v>3</v>
      </c>
      <c r="D6" s="665"/>
      <c r="E6" s="665"/>
      <c r="F6" s="666"/>
      <c r="G6" s="663" t="s">
        <v>9</v>
      </c>
      <c r="H6" s="663"/>
      <c r="I6" s="663"/>
      <c r="J6" s="663"/>
      <c r="K6" s="691" t="s">
        <v>3</v>
      </c>
      <c r="L6" s="691"/>
      <c r="M6" s="691"/>
      <c r="N6" s="686" t="s">
        <v>9</v>
      </c>
      <c r="O6" s="686"/>
      <c r="P6" s="686"/>
    </row>
    <row r="7" spans="1:16" ht="52.5" customHeight="1">
      <c r="A7" s="676"/>
      <c r="B7" s="677"/>
      <c r="C7" s="680" t="s">
        <v>294</v>
      </c>
      <c r="D7" s="665" t="s">
        <v>76</v>
      </c>
      <c r="E7" s="665"/>
      <c r="F7" s="666"/>
      <c r="G7" s="663" t="s">
        <v>295</v>
      </c>
      <c r="H7" s="663" t="s">
        <v>76</v>
      </c>
      <c r="I7" s="663"/>
      <c r="J7" s="663"/>
      <c r="K7" s="663" t="s">
        <v>32</v>
      </c>
      <c r="L7" s="663" t="s">
        <v>77</v>
      </c>
      <c r="M7" s="663"/>
      <c r="N7" s="663" t="s">
        <v>62</v>
      </c>
      <c r="O7" s="663" t="s">
        <v>77</v>
      </c>
      <c r="P7" s="663"/>
    </row>
    <row r="8" spans="1:16" ht="15.75" customHeight="1">
      <c r="A8" s="676"/>
      <c r="B8" s="677"/>
      <c r="C8" s="680"/>
      <c r="D8" s="663" t="s">
        <v>36</v>
      </c>
      <c r="E8" s="663" t="s">
        <v>37</v>
      </c>
      <c r="F8" s="663" t="s">
        <v>40</v>
      </c>
      <c r="G8" s="663"/>
      <c r="H8" s="663" t="s">
        <v>36</v>
      </c>
      <c r="I8" s="663" t="s">
        <v>37</v>
      </c>
      <c r="J8" s="663" t="s">
        <v>40</v>
      </c>
      <c r="K8" s="663"/>
      <c r="L8" s="663" t="s">
        <v>14</v>
      </c>
      <c r="M8" s="663" t="s">
        <v>13</v>
      </c>
      <c r="N8" s="663"/>
      <c r="O8" s="663" t="s">
        <v>14</v>
      </c>
      <c r="P8" s="663" t="s">
        <v>13</v>
      </c>
    </row>
    <row r="9" spans="1:16" ht="44.25" customHeight="1">
      <c r="A9" s="678"/>
      <c r="B9" s="679"/>
      <c r="C9" s="681"/>
      <c r="D9" s="663"/>
      <c r="E9" s="663"/>
      <c r="F9" s="663"/>
      <c r="G9" s="663"/>
      <c r="H9" s="663"/>
      <c r="I9" s="663"/>
      <c r="J9" s="663"/>
      <c r="K9" s="663"/>
      <c r="L9" s="663"/>
      <c r="M9" s="663"/>
      <c r="N9" s="663"/>
      <c r="O9" s="663"/>
      <c r="P9" s="663"/>
    </row>
    <row r="10" spans="1:16" ht="15" customHeight="1">
      <c r="A10" s="672" t="s">
        <v>6</v>
      </c>
      <c r="B10" s="673"/>
      <c r="C10" s="105">
        <v>1</v>
      </c>
      <c r="D10" s="105" t="s">
        <v>44</v>
      </c>
      <c r="E10" s="105" t="s">
        <v>47</v>
      </c>
      <c r="F10" s="105" t="s">
        <v>56</v>
      </c>
      <c r="G10" s="105" t="s">
        <v>57</v>
      </c>
      <c r="H10" s="105" t="s">
        <v>58</v>
      </c>
      <c r="I10" s="105" t="s">
        <v>59</v>
      </c>
      <c r="J10" s="105" t="s">
        <v>60</v>
      </c>
      <c r="K10" s="105" t="s">
        <v>61</v>
      </c>
      <c r="L10" s="105" t="s">
        <v>81</v>
      </c>
      <c r="M10" s="105" t="s">
        <v>82</v>
      </c>
      <c r="N10" s="105" t="s">
        <v>83</v>
      </c>
      <c r="O10" s="105" t="s">
        <v>84</v>
      </c>
      <c r="P10" s="105" t="s">
        <v>85</v>
      </c>
    </row>
    <row r="11" spans="1:16" ht="15" customHeight="1">
      <c r="A11" s="684" t="s">
        <v>296</v>
      </c>
      <c r="B11" s="685"/>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82" t="s">
        <v>297</v>
      </c>
      <c r="B12" s="683"/>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70" t="s">
        <v>33</v>
      </c>
      <c r="B13" s="671"/>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265</v>
      </c>
    </row>
    <row r="14" spans="1:37" ht="15" customHeight="1">
      <c r="A14" s="109" t="s">
        <v>0</v>
      </c>
      <c r="B14" s="110" t="s">
        <v>78</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266</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298</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268</v>
      </c>
    </row>
    <row r="18" spans="1:16" s="42" customFormat="1" ht="15" customHeight="1">
      <c r="A18" s="116" t="s">
        <v>47</v>
      </c>
      <c r="B18" s="117" t="s">
        <v>269</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56</v>
      </c>
      <c r="B19" s="117" t="s">
        <v>270</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57</v>
      </c>
      <c r="B20" s="117" t="s">
        <v>271</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58</v>
      </c>
      <c r="B21" s="117" t="s">
        <v>272</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273</v>
      </c>
      <c r="AK21" s="42" t="s">
        <v>274</v>
      </c>
      <c r="AL21" s="42" t="s">
        <v>275</v>
      </c>
      <c r="AM21" s="113" t="s">
        <v>276</v>
      </c>
    </row>
    <row r="22" spans="1:39" s="42" customFormat="1" ht="15" customHeight="1">
      <c r="A22" s="116" t="s">
        <v>59</v>
      </c>
      <c r="B22" s="117" t="s">
        <v>277</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278</v>
      </c>
    </row>
    <row r="23" spans="1:16" s="42" customFormat="1" ht="15" customHeight="1">
      <c r="A23" s="116" t="s">
        <v>60</v>
      </c>
      <c r="B23" s="117" t="s">
        <v>279</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61</v>
      </c>
      <c r="B24" s="117" t="s">
        <v>280</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273</v>
      </c>
    </row>
    <row r="25" spans="1:36" s="42" customFormat="1" ht="15" customHeight="1">
      <c r="A25" s="116" t="s">
        <v>81</v>
      </c>
      <c r="B25" s="117" t="s">
        <v>281</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282</v>
      </c>
    </row>
    <row r="26" spans="1:44" s="42" customFormat="1" ht="15" customHeight="1">
      <c r="A26" s="116" t="s">
        <v>82</v>
      </c>
      <c r="B26" s="117" t="s">
        <v>283</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97" t="s">
        <v>350</v>
      </c>
      <c r="C28" s="698"/>
      <c r="D28" s="698"/>
      <c r="E28" s="698"/>
      <c r="F28" s="123"/>
      <c r="G28" s="123"/>
      <c r="H28" s="123"/>
      <c r="I28" s="123"/>
      <c r="J28" s="123"/>
      <c r="K28" s="692" t="s">
        <v>351</v>
      </c>
      <c r="L28" s="692"/>
      <c r="M28" s="692"/>
      <c r="N28" s="692"/>
      <c r="O28" s="692"/>
      <c r="P28" s="692"/>
      <c r="AG28" s="73" t="s">
        <v>285</v>
      </c>
      <c r="AI28" s="113">
        <f>82/88</f>
        <v>0.9318181818181818</v>
      </c>
    </row>
    <row r="29" spans="2:16" ht="16.5">
      <c r="B29" s="698"/>
      <c r="C29" s="698"/>
      <c r="D29" s="698"/>
      <c r="E29" s="698"/>
      <c r="F29" s="123"/>
      <c r="G29" s="123"/>
      <c r="H29" s="123"/>
      <c r="I29" s="123"/>
      <c r="J29" s="123"/>
      <c r="K29" s="692"/>
      <c r="L29" s="692"/>
      <c r="M29" s="692"/>
      <c r="N29" s="692"/>
      <c r="O29" s="692"/>
      <c r="P29" s="692"/>
    </row>
    <row r="30" spans="2:16" ht="21" customHeight="1">
      <c r="B30" s="698"/>
      <c r="C30" s="698"/>
      <c r="D30" s="698"/>
      <c r="E30" s="698"/>
      <c r="F30" s="123"/>
      <c r="G30" s="123"/>
      <c r="H30" s="123"/>
      <c r="I30" s="123"/>
      <c r="J30" s="123"/>
      <c r="K30" s="692"/>
      <c r="L30" s="692"/>
      <c r="M30" s="692"/>
      <c r="N30" s="692"/>
      <c r="O30" s="692"/>
      <c r="P30" s="692"/>
    </row>
    <row r="32" spans="2:16" ht="16.5" customHeight="1">
      <c r="B32" s="700" t="s">
        <v>288</v>
      </c>
      <c r="C32" s="700"/>
      <c r="D32" s="700"/>
      <c r="E32" s="124"/>
      <c r="F32" s="124"/>
      <c r="G32" s="124"/>
      <c r="H32" s="124"/>
      <c r="I32" s="124"/>
      <c r="J32" s="124"/>
      <c r="K32" s="699" t="s">
        <v>352</v>
      </c>
      <c r="L32" s="699"/>
      <c r="M32" s="699"/>
      <c r="N32" s="699"/>
      <c r="O32" s="699"/>
      <c r="P32" s="699"/>
    </row>
    <row r="33" ht="12.75" customHeight="1"/>
    <row r="34" spans="2:5" ht="15.75">
      <c r="B34" s="125"/>
      <c r="C34" s="125"/>
      <c r="D34" s="125"/>
      <c r="E34" s="125"/>
    </row>
    <row r="35" ht="15.75" hidden="1"/>
    <row r="36" spans="2:16" ht="15.75">
      <c r="B36" s="695" t="s">
        <v>241</v>
      </c>
      <c r="C36" s="695"/>
      <c r="D36" s="695"/>
      <c r="E36" s="695"/>
      <c r="F36" s="126"/>
      <c r="G36" s="126"/>
      <c r="H36" s="126"/>
      <c r="I36" s="126"/>
      <c r="K36" s="696" t="s">
        <v>242</v>
      </c>
      <c r="L36" s="696"/>
      <c r="M36" s="696"/>
      <c r="N36" s="696"/>
      <c r="O36" s="696"/>
      <c r="P36" s="696"/>
    </row>
    <row r="39" ht="15.75">
      <c r="A39" s="128" t="s">
        <v>41</v>
      </c>
    </row>
    <row r="40" spans="1:6" ht="15.75">
      <c r="A40" s="129"/>
      <c r="B40" s="130" t="s">
        <v>48</v>
      </c>
      <c r="C40" s="130"/>
      <c r="D40" s="130"/>
      <c r="E40" s="130"/>
      <c r="F40" s="130"/>
    </row>
    <row r="41" spans="1:14" ht="15.75" customHeight="1">
      <c r="A41" s="131" t="s">
        <v>25</v>
      </c>
      <c r="B41" s="694" t="s">
        <v>51</v>
      </c>
      <c r="C41" s="694"/>
      <c r="D41" s="694"/>
      <c r="E41" s="694"/>
      <c r="F41" s="694"/>
      <c r="G41" s="131"/>
      <c r="H41" s="131"/>
      <c r="I41" s="131"/>
      <c r="J41" s="131"/>
      <c r="K41" s="131"/>
      <c r="L41" s="131"/>
      <c r="M41" s="131"/>
      <c r="N41" s="131"/>
    </row>
    <row r="42" spans="1:14" ht="15" customHeight="1">
      <c r="A42" s="131"/>
      <c r="B42" s="693" t="s">
        <v>52</v>
      </c>
      <c r="C42" s="693"/>
      <c r="D42" s="693"/>
      <c r="E42" s="693"/>
      <c r="F42" s="693"/>
      <c r="G42" s="693"/>
      <c r="H42" s="132"/>
      <c r="I42" s="132"/>
      <c r="J42" s="132"/>
      <c r="K42" s="131"/>
      <c r="L42" s="131"/>
      <c r="M42" s="131"/>
      <c r="N42" s="131"/>
    </row>
  </sheetData>
  <sheetProtection/>
  <mergeCells count="45">
    <mergeCell ref="K28:P30"/>
    <mergeCell ref="B42:G42"/>
    <mergeCell ref="B41:F41"/>
    <mergeCell ref="B36:E36"/>
    <mergeCell ref="K36:P36"/>
    <mergeCell ref="B28:E30"/>
    <mergeCell ref="K32:P32"/>
    <mergeCell ref="B32:D32"/>
    <mergeCell ref="N6:P6"/>
    <mergeCell ref="O7:P7"/>
    <mergeCell ref="L7:M7"/>
    <mergeCell ref="M1:P1"/>
    <mergeCell ref="M2:P2"/>
    <mergeCell ref="M3:P3"/>
    <mergeCell ref="K6:M6"/>
    <mergeCell ref="D4:L4"/>
    <mergeCell ref="D7:F7"/>
    <mergeCell ref="K5:P5"/>
    <mergeCell ref="A11:B11"/>
    <mergeCell ref="P8:P9"/>
    <mergeCell ref="O8:O9"/>
    <mergeCell ref="N7:N9"/>
    <mergeCell ref="H8:H9"/>
    <mergeCell ref="L8:L9"/>
    <mergeCell ref="M8:M9"/>
    <mergeCell ref="A13:B13"/>
    <mergeCell ref="G7:G9"/>
    <mergeCell ref="A10:B10"/>
    <mergeCell ref="A5:B9"/>
    <mergeCell ref="C5:J5"/>
    <mergeCell ref="G6:J6"/>
    <mergeCell ref="C7:C9"/>
    <mergeCell ref="H7:J7"/>
    <mergeCell ref="D8:D9"/>
    <mergeCell ref="A12:B12"/>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39" t="s">
        <v>97</v>
      </c>
      <c r="B1" s="639"/>
      <c r="C1" s="639"/>
      <c r="D1" s="704" t="s">
        <v>353</v>
      </c>
      <c r="E1" s="704"/>
      <c r="F1" s="704"/>
      <c r="G1" s="704"/>
      <c r="H1" s="704"/>
      <c r="I1" s="704"/>
      <c r="J1" s="708" t="s">
        <v>354</v>
      </c>
      <c r="K1" s="709"/>
      <c r="L1" s="709"/>
    </row>
    <row r="2" spans="1:13" ht="15.75" customHeight="1">
      <c r="A2" s="710" t="s">
        <v>299</v>
      </c>
      <c r="B2" s="710"/>
      <c r="C2" s="710"/>
      <c r="D2" s="704"/>
      <c r="E2" s="704"/>
      <c r="F2" s="704"/>
      <c r="G2" s="704"/>
      <c r="H2" s="704"/>
      <c r="I2" s="704"/>
      <c r="J2" s="709" t="s">
        <v>300</v>
      </c>
      <c r="K2" s="709"/>
      <c r="L2" s="709"/>
      <c r="M2" s="133"/>
    </row>
    <row r="3" spans="1:13" ht="15.75" customHeight="1">
      <c r="A3" s="641" t="s">
        <v>251</v>
      </c>
      <c r="B3" s="641"/>
      <c r="C3" s="641"/>
      <c r="D3" s="704"/>
      <c r="E3" s="704"/>
      <c r="F3" s="704"/>
      <c r="G3" s="704"/>
      <c r="H3" s="704"/>
      <c r="I3" s="704"/>
      <c r="J3" s="708" t="s">
        <v>355</v>
      </c>
      <c r="K3" s="708"/>
      <c r="L3" s="708"/>
      <c r="M3" s="37"/>
    </row>
    <row r="4" spans="1:13" ht="15.75" customHeight="1">
      <c r="A4" s="707" t="s">
        <v>253</v>
      </c>
      <c r="B4" s="707"/>
      <c r="C4" s="707"/>
      <c r="D4" s="706"/>
      <c r="E4" s="706"/>
      <c r="F4" s="706"/>
      <c r="G4" s="706"/>
      <c r="H4" s="706"/>
      <c r="I4" s="706"/>
      <c r="J4" s="709" t="s">
        <v>301</v>
      </c>
      <c r="K4" s="709"/>
      <c r="L4" s="709"/>
      <c r="M4" s="133"/>
    </row>
    <row r="5" spans="1:13" ht="15.75">
      <c r="A5" s="134"/>
      <c r="B5" s="134"/>
      <c r="C5" s="34"/>
      <c r="D5" s="34"/>
      <c r="E5" s="34"/>
      <c r="F5" s="34"/>
      <c r="G5" s="34"/>
      <c r="H5" s="34"/>
      <c r="I5" s="34"/>
      <c r="J5" s="705" t="s">
        <v>8</v>
      </c>
      <c r="K5" s="705"/>
      <c r="L5" s="705"/>
      <c r="M5" s="133"/>
    </row>
    <row r="6" spans="1:14" ht="15.75">
      <c r="A6" s="713" t="s">
        <v>55</v>
      </c>
      <c r="B6" s="714"/>
      <c r="C6" s="663" t="s">
        <v>302</v>
      </c>
      <c r="D6" s="703" t="s">
        <v>303</v>
      </c>
      <c r="E6" s="703"/>
      <c r="F6" s="703"/>
      <c r="G6" s="703"/>
      <c r="H6" s="703"/>
      <c r="I6" s="703"/>
      <c r="J6" s="629" t="s">
        <v>95</v>
      </c>
      <c r="K6" s="629"/>
      <c r="L6" s="629"/>
      <c r="M6" s="701" t="s">
        <v>304</v>
      </c>
      <c r="N6" s="702" t="s">
        <v>305</v>
      </c>
    </row>
    <row r="7" spans="1:14" ht="15.75" customHeight="1">
      <c r="A7" s="715"/>
      <c r="B7" s="716"/>
      <c r="C7" s="663"/>
      <c r="D7" s="703" t="s">
        <v>7</v>
      </c>
      <c r="E7" s="703"/>
      <c r="F7" s="703"/>
      <c r="G7" s="703"/>
      <c r="H7" s="703"/>
      <c r="I7" s="703"/>
      <c r="J7" s="629"/>
      <c r="K7" s="629"/>
      <c r="L7" s="629"/>
      <c r="M7" s="701"/>
      <c r="N7" s="702"/>
    </row>
    <row r="8" spans="1:14" s="73" customFormat="1" ht="31.5" customHeight="1">
      <c r="A8" s="715"/>
      <c r="B8" s="716"/>
      <c r="C8" s="663"/>
      <c r="D8" s="629" t="s">
        <v>93</v>
      </c>
      <c r="E8" s="629" t="s">
        <v>94</v>
      </c>
      <c r="F8" s="629"/>
      <c r="G8" s="629"/>
      <c r="H8" s="629"/>
      <c r="I8" s="629"/>
      <c r="J8" s="629"/>
      <c r="K8" s="629"/>
      <c r="L8" s="629"/>
      <c r="M8" s="701"/>
      <c r="N8" s="702"/>
    </row>
    <row r="9" spans="1:14" s="73" customFormat="1" ht="15.75" customHeight="1">
      <c r="A9" s="715"/>
      <c r="B9" s="716"/>
      <c r="C9" s="663"/>
      <c r="D9" s="629"/>
      <c r="E9" s="629" t="s">
        <v>96</v>
      </c>
      <c r="F9" s="629" t="s">
        <v>7</v>
      </c>
      <c r="G9" s="629"/>
      <c r="H9" s="629"/>
      <c r="I9" s="629"/>
      <c r="J9" s="629" t="s">
        <v>7</v>
      </c>
      <c r="K9" s="629"/>
      <c r="L9" s="629"/>
      <c r="M9" s="701"/>
      <c r="N9" s="702"/>
    </row>
    <row r="10" spans="1:14" s="73" customFormat="1" ht="86.25" customHeight="1">
      <c r="A10" s="717"/>
      <c r="B10" s="718"/>
      <c r="C10" s="663"/>
      <c r="D10" s="629"/>
      <c r="E10" s="629"/>
      <c r="F10" s="104" t="s">
        <v>22</v>
      </c>
      <c r="G10" s="104" t="s">
        <v>24</v>
      </c>
      <c r="H10" s="104" t="s">
        <v>16</v>
      </c>
      <c r="I10" s="104" t="s">
        <v>23</v>
      </c>
      <c r="J10" s="104" t="s">
        <v>15</v>
      </c>
      <c r="K10" s="104" t="s">
        <v>20</v>
      </c>
      <c r="L10" s="104" t="s">
        <v>21</v>
      </c>
      <c r="M10" s="701"/>
      <c r="N10" s="702"/>
    </row>
    <row r="11" spans="1:32" ht="13.5" customHeight="1">
      <c r="A11" s="727" t="s">
        <v>5</v>
      </c>
      <c r="B11" s="728"/>
      <c r="C11" s="135">
        <v>1</v>
      </c>
      <c r="D11" s="135" t="s">
        <v>44</v>
      </c>
      <c r="E11" s="135" t="s">
        <v>47</v>
      </c>
      <c r="F11" s="135" t="s">
        <v>56</v>
      </c>
      <c r="G11" s="135" t="s">
        <v>57</v>
      </c>
      <c r="H11" s="135" t="s">
        <v>58</v>
      </c>
      <c r="I11" s="135" t="s">
        <v>59</v>
      </c>
      <c r="J11" s="135" t="s">
        <v>60</v>
      </c>
      <c r="K11" s="135" t="s">
        <v>61</v>
      </c>
      <c r="L11" s="135" t="s">
        <v>81</v>
      </c>
      <c r="M11" s="136"/>
      <c r="N11" s="137"/>
      <c r="AF11" s="33" t="s">
        <v>265</v>
      </c>
    </row>
    <row r="12" spans="1:14" ht="24" customHeight="1">
      <c r="A12" s="721" t="s">
        <v>296</v>
      </c>
      <c r="B12" s="722"/>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719" t="s">
        <v>252</v>
      </c>
      <c r="B13" s="720"/>
      <c r="C13" s="139">
        <v>59</v>
      </c>
      <c r="D13" s="139">
        <v>43</v>
      </c>
      <c r="E13" s="139">
        <v>0</v>
      </c>
      <c r="F13" s="139">
        <v>5</v>
      </c>
      <c r="G13" s="139">
        <v>2</v>
      </c>
      <c r="H13" s="139">
        <v>7</v>
      </c>
      <c r="I13" s="139">
        <v>2</v>
      </c>
      <c r="J13" s="139">
        <v>10</v>
      </c>
      <c r="K13" s="139">
        <v>44</v>
      </c>
      <c r="L13" s="139">
        <v>5</v>
      </c>
      <c r="M13" s="136"/>
      <c r="N13" s="137"/>
    </row>
    <row r="14" spans="1:37" s="52" customFormat="1" ht="16.5" customHeight="1">
      <c r="A14" s="725" t="s">
        <v>30</v>
      </c>
      <c r="B14" s="726"/>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78</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266</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268</v>
      </c>
    </row>
    <row r="18" spans="1:14" s="148" customFormat="1" ht="16.5" customHeight="1">
      <c r="A18" s="147" t="s">
        <v>44</v>
      </c>
      <c r="B18" s="68" t="s">
        <v>298</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47</v>
      </c>
      <c r="B19" s="68" t="s">
        <v>269</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56</v>
      </c>
      <c r="B20" s="68" t="s">
        <v>270</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57</v>
      </c>
      <c r="B21" s="68" t="s">
        <v>271</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273</v>
      </c>
      <c r="AK21" s="148" t="s">
        <v>274</v>
      </c>
      <c r="AL21" s="148" t="s">
        <v>275</v>
      </c>
      <c r="AM21" s="63" t="s">
        <v>276</v>
      </c>
    </row>
    <row r="22" spans="1:39" s="148" customFormat="1" ht="16.5" customHeight="1">
      <c r="A22" s="147" t="s">
        <v>58</v>
      </c>
      <c r="B22" s="68" t="s">
        <v>272</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278</v>
      </c>
    </row>
    <row r="23" spans="1:14" s="148" customFormat="1" ht="16.5" customHeight="1">
      <c r="A23" s="147" t="s">
        <v>59</v>
      </c>
      <c r="B23" s="68" t="s">
        <v>277</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60</v>
      </c>
      <c r="B24" s="68" t="s">
        <v>279</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273</v>
      </c>
    </row>
    <row r="25" spans="1:36" s="148" customFormat="1" ht="16.5" customHeight="1">
      <c r="A25" s="147" t="s">
        <v>61</v>
      </c>
      <c r="B25" s="68" t="s">
        <v>280</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282</v>
      </c>
    </row>
    <row r="26" spans="1:44" s="70" customFormat="1" ht="16.5" customHeight="1">
      <c r="A26" s="151" t="s">
        <v>81</v>
      </c>
      <c r="B26" s="68" t="s">
        <v>281</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82</v>
      </c>
      <c r="B27" s="68" t="s">
        <v>283</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285</v>
      </c>
      <c r="AI28" s="157">
        <f>82/88</f>
        <v>0.9318181818181818</v>
      </c>
    </row>
    <row r="29" spans="1:13" ht="16.5" customHeight="1">
      <c r="A29" s="647" t="s">
        <v>356</v>
      </c>
      <c r="B29" s="729"/>
      <c r="C29" s="729"/>
      <c r="D29" s="729"/>
      <c r="E29" s="158"/>
      <c r="F29" s="158"/>
      <c r="G29" s="158"/>
      <c r="H29" s="711" t="s">
        <v>306</v>
      </c>
      <c r="I29" s="711"/>
      <c r="J29" s="711"/>
      <c r="K29" s="711"/>
      <c r="L29" s="711"/>
      <c r="M29" s="159"/>
    </row>
    <row r="30" spans="1:12" ht="18.75">
      <c r="A30" s="729"/>
      <c r="B30" s="729"/>
      <c r="C30" s="729"/>
      <c r="D30" s="729"/>
      <c r="E30" s="158"/>
      <c r="F30" s="158"/>
      <c r="G30" s="158"/>
      <c r="H30" s="712" t="s">
        <v>307</v>
      </c>
      <c r="I30" s="712"/>
      <c r="J30" s="712"/>
      <c r="K30" s="712"/>
      <c r="L30" s="712"/>
    </row>
    <row r="31" spans="1:12" s="32" customFormat="1" ht="16.5" customHeight="1">
      <c r="A31" s="620"/>
      <c r="B31" s="620"/>
      <c r="C31" s="620"/>
      <c r="D31" s="620"/>
      <c r="E31" s="160"/>
      <c r="F31" s="160"/>
      <c r="G31" s="160"/>
      <c r="H31" s="621"/>
      <c r="I31" s="621"/>
      <c r="J31" s="621"/>
      <c r="K31" s="621"/>
      <c r="L31" s="621"/>
    </row>
    <row r="32" spans="1:12" ht="18.75">
      <c r="A32" s="89"/>
      <c r="B32" s="620" t="s">
        <v>288</v>
      </c>
      <c r="C32" s="620"/>
      <c r="D32" s="620"/>
      <c r="E32" s="160"/>
      <c r="F32" s="160"/>
      <c r="G32" s="160"/>
      <c r="H32" s="160"/>
      <c r="I32" s="730" t="s">
        <v>288</v>
      </c>
      <c r="J32" s="730"/>
      <c r="K32" s="730"/>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50" t="s">
        <v>241</v>
      </c>
      <c r="B37" s="650"/>
      <c r="C37" s="650"/>
      <c r="D37" s="650"/>
      <c r="E37" s="91"/>
      <c r="F37" s="91"/>
      <c r="G37" s="91"/>
      <c r="H37" s="651" t="s">
        <v>241</v>
      </c>
      <c r="I37" s="651"/>
      <c r="J37" s="651"/>
      <c r="K37" s="651"/>
      <c r="L37" s="651"/>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724" t="s">
        <v>48</v>
      </c>
      <c r="C40" s="724"/>
      <c r="D40" s="724"/>
      <c r="E40" s="724"/>
      <c r="F40" s="724"/>
      <c r="G40" s="724"/>
      <c r="H40" s="724"/>
      <c r="I40" s="724"/>
      <c r="J40" s="724"/>
      <c r="K40" s="724"/>
      <c r="L40" s="724"/>
    </row>
    <row r="41" spans="1:12" ht="16.5" customHeight="1">
      <c r="A41" s="165"/>
      <c r="B41" s="723" t="s">
        <v>50</v>
      </c>
      <c r="C41" s="723"/>
      <c r="D41" s="723"/>
      <c r="E41" s="723"/>
      <c r="F41" s="723"/>
      <c r="G41" s="723"/>
      <c r="H41" s="723"/>
      <c r="I41" s="723"/>
      <c r="J41" s="723"/>
      <c r="K41" s="723"/>
      <c r="L41" s="723"/>
    </row>
    <row r="42" ht="15.75">
      <c r="B42" s="38" t="s">
        <v>49</v>
      </c>
    </row>
  </sheetData>
  <sheetProtection/>
  <mergeCells count="38">
    <mergeCell ref="B41:L41"/>
    <mergeCell ref="B40:L40"/>
    <mergeCell ref="A14:B14"/>
    <mergeCell ref="A11:B11"/>
    <mergeCell ref="A29:D30"/>
    <mergeCell ref="H37:L37"/>
    <mergeCell ref="A37:D37"/>
    <mergeCell ref="B32:D32"/>
    <mergeCell ref="I32:K32"/>
    <mergeCell ref="A31:D31"/>
    <mergeCell ref="H29:L29"/>
    <mergeCell ref="H30:L30"/>
    <mergeCell ref="H31:L31"/>
    <mergeCell ref="A6:B10"/>
    <mergeCell ref="A13:B13"/>
    <mergeCell ref="A12:B12"/>
    <mergeCell ref="J9:L9"/>
    <mergeCell ref="J6:L8"/>
    <mergeCell ref="A3:C3"/>
    <mergeCell ref="D1:I3"/>
    <mergeCell ref="J5:L5"/>
    <mergeCell ref="D4:I4"/>
    <mergeCell ref="A4:C4"/>
    <mergeCell ref="J1:L1"/>
    <mergeCell ref="J2:L2"/>
    <mergeCell ref="J3:L3"/>
    <mergeCell ref="J4:L4"/>
    <mergeCell ref="A2:C2"/>
    <mergeCell ref="A1:C1"/>
    <mergeCell ref="M6:M10"/>
    <mergeCell ref="N6:N10"/>
    <mergeCell ref="C6:C10"/>
    <mergeCell ref="E9:E10"/>
    <mergeCell ref="D6:I6"/>
    <mergeCell ref="E8:I8"/>
    <mergeCell ref="D8:D10"/>
    <mergeCell ref="F9:I9"/>
    <mergeCell ref="D7:I7"/>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47" t="s">
        <v>129</v>
      </c>
      <c r="B1" s="747"/>
      <c r="C1" s="747"/>
      <c r="D1" s="742" t="s">
        <v>310</v>
      </c>
      <c r="E1" s="743"/>
      <c r="F1" s="743"/>
      <c r="G1" s="743"/>
      <c r="H1" s="743"/>
      <c r="I1" s="743"/>
      <c r="J1" s="743"/>
      <c r="K1" s="743"/>
      <c r="L1" s="743"/>
      <c r="M1" s="743"/>
      <c r="N1" s="743"/>
      <c r="O1" s="212"/>
      <c r="P1" s="169" t="s">
        <v>360</v>
      </c>
      <c r="Q1" s="168"/>
      <c r="R1" s="168"/>
      <c r="S1" s="168"/>
      <c r="T1" s="168"/>
      <c r="U1" s="212"/>
    </row>
    <row r="2" spans="1:21" ht="16.5" customHeight="1">
      <c r="A2" s="744" t="s">
        <v>311</v>
      </c>
      <c r="B2" s="744"/>
      <c r="C2" s="744"/>
      <c r="D2" s="743"/>
      <c r="E2" s="743"/>
      <c r="F2" s="743"/>
      <c r="G2" s="743"/>
      <c r="H2" s="743"/>
      <c r="I2" s="743"/>
      <c r="J2" s="743"/>
      <c r="K2" s="743"/>
      <c r="L2" s="743"/>
      <c r="M2" s="743"/>
      <c r="N2" s="743"/>
      <c r="O2" s="213"/>
      <c r="P2" s="735" t="s">
        <v>312</v>
      </c>
      <c r="Q2" s="735"/>
      <c r="R2" s="735"/>
      <c r="S2" s="735"/>
      <c r="T2" s="735"/>
      <c r="U2" s="213"/>
    </row>
    <row r="3" spans="1:21" ht="16.5" customHeight="1">
      <c r="A3" s="763" t="s">
        <v>313</v>
      </c>
      <c r="B3" s="763"/>
      <c r="C3" s="763"/>
      <c r="D3" s="748" t="s">
        <v>314</v>
      </c>
      <c r="E3" s="748"/>
      <c r="F3" s="748"/>
      <c r="G3" s="748"/>
      <c r="H3" s="748"/>
      <c r="I3" s="748"/>
      <c r="J3" s="748"/>
      <c r="K3" s="748"/>
      <c r="L3" s="748"/>
      <c r="M3" s="748"/>
      <c r="N3" s="748"/>
      <c r="O3" s="213"/>
      <c r="P3" s="173" t="s">
        <v>359</v>
      </c>
      <c r="Q3" s="213"/>
      <c r="R3" s="213"/>
      <c r="S3" s="213"/>
      <c r="T3" s="213"/>
      <c r="U3" s="213"/>
    </row>
    <row r="4" spans="1:21" ht="16.5" customHeight="1">
      <c r="A4" s="749" t="s">
        <v>253</v>
      </c>
      <c r="B4" s="749"/>
      <c r="C4" s="749"/>
      <c r="D4" s="770"/>
      <c r="E4" s="770"/>
      <c r="F4" s="770"/>
      <c r="G4" s="770"/>
      <c r="H4" s="770"/>
      <c r="I4" s="770"/>
      <c r="J4" s="770"/>
      <c r="K4" s="770"/>
      <c r="L4" s="770"/>
      <c r="M4" s="770"/>
      <c r="N4" s="770"/>
      <c r="O4" s="213"/>
      <c r="P4" s="172" t="s">
        <v>292</v>
      </c>
      <c r="Q4" s="213"/>
      <c r="R4" s="213"/>
      <c r="S4" s="213"/>
      <c r="T4" s="213"/>
      <c r="U4" s="213"/>
    </row>
    <row r="5" spans="12:21" ht="16.5" customHeight="1">
      <c r="L5" s="214"/>
      <c r="M5" s="214"/>
      <c r="N5" s="214"/>
      <c r="O5" s="176"/>
      <c r="P5" s="175" t="s">
        <v>315</v>
      </c>
      <c r="Q5" s="176"/>
      <c r="R5" s="176"/>
      <c r="S5" s="176"/>
      <c r="T5" s="176"/>
      <c r="U5" s="172"/>
    </row>
    <row r="6" spans="1:21" s="217" customFormat="1" ht="15.75" customHeight="1">
      <c r="A6" s="736" t="s">
        <v>55</v>
      </c>
      <c r="B6" s="737"/>
      <c r="C6" s="731" t="s">
        <v>130</v>
      </c>
      <c r="D6" s="745" t="s">
        <v>131</v>
      </c>
      <c r="E6" s="746"/>
      <c r="F6" s="746"/>
      <c r="G6" s="746"/>
      <c r="H6" s="746"/>
      <c r="I6" s="746"/>
      <c r="J6" s="746"/>
      <c r="K6" s="746"/>
      <c r="L6" s="746"/>
      <c r="M6" s="746"/>
      <c r="N6" s="746"/>
      <c r="O6" s="746"/>
      <c r="P6" s="746"/>
      <c r="Q6" s="746"/>
      <c r="R6" s="746"/>
      <c r="S6" s="746"/>
      <c r="T6" s="731" t="s">
        <v>132</v>
      </c>
      <c r="U6" s="216"/>
    </row>
    <row r="7" spans="1:20" s="218" customFormat="1" ht="12.75" customHeight="1">
      <c r="A7" s="738"/>
      <c r="B7" s="739"/>
      <c r="C7" s="731"/>
      <c r="D7" s="767" t="s">
        <v>127</v>
      </c>
      <c r="E7" s="746" t="s">
        <v>7</v>
      </c>
      <c r="F7" s="746"/>
      <c r="G7" s="746"/>
      <c r="H7" s="746"/>
      <c r="I7" s="746"/>
      <c r="J7" s="746"/>
      <c r="K7" s="746"/>
      <c r="L7" s="746"/>
      <c r="M7" s="746"/>
      <c r="N7" s="746"/>
      <c r="O7" s="746"/>
      <c r="P7" s="746"/>
      <c r="Q7" s="746"/>
      <c r="R7" s="746"/>
      <c r="S7" s="746"/>
      <c r="T7" s="731"/>
    </row>
    <row r="8" spans="1:21" s="218" customFormat="1" ht="43.5" customHeight="1">
      <c r="A8" s="738"/>
      <c r="B8" s="739"/>
      <c r="C8" s="731"/>
      <c r="D8" s="768"/>
      <c r="E8" s="734" t="s">
        <v>133</v>
      </c>
      <c r="F8" s="731"/>
      <c r="G8" s="731"/>
      <c r="H8" s="731" t="s">
        <v>134</v>
      </c>
      <c r="I8" s="731"/>
      <c r="J8" s="731"/>
      <c r="K8" s="731" t="s">
        <v>135</v>
      </c>
      <c r="L8" s="731"/>
      <c r="M8" s="731" t="s">
        <v>136</v>
      </c>
      <c r="N8" s="731"/>
      <c r="O8" s="731"/>
      <c r="P8" s="731" t="s">
        <v>137</v>
      </c>
      <c r="Q8" s="731" t="s">
        <v>138</v>
      </c>
      <c r="R8" s="731" t="s">
        <v>139</v>
      </c>
      <c r="S8" s="750" t="s">
        <v>140</v>
      </c>
      <c r="T8" s="731"/>
      <c r="U8" s="760" t="s">
        <v>316</v>
      </c>
    </row>
    <row r="9" spans="1:21" s="218" customFormat="1" ht="44.25" customHeight="1">
      <c r="A9" s="740"/>
      <c r="B9" s="741"/>
      <c r="C9" s="731"/>
      <c r="D9" s="769"/>
      <c r="E9" s="219" t="s">
        <v>141</v>
      </c>
      <c r="F9" s="215" t="s">
        <v>142</v>
      </c>
      <c r="G9" s="215" t="s">
        <v>317</v>
      </c>
      <c r="H9" s="215" t="s">
        <v>143</v>
      </c>
      <c r="I9" s="215" t="s">
        <v>144</v>
      </c>
      <c r="J9" s="215" t="s">
        <v>145</v>
      </c>
      <c r="K9" s="215" t="s">
        <v>142</v>
      </c>
      <c r="L9" s="215" t="s">
        <v>146</v>
      </c>
      <c r="M9" s="215" t="s">
        <v>147</v>
      </c>
      <c r="N9" s="215" t="s">
        <v>148</v>
      </c>
      <c r="O9" s="215" t="s">
        <v>318</v>
      </c>
      <c r="P9" s="731"/>
      <c r="Q9" s="731"/>
      <c r="R9" s="731"/>
      <c r="S9" s="750"/>
      <c r="T9" s="731"/>
      <c r="U9" s="761"/>
    </row>
    <row r="10" spans="1:21" s="222" customFormat="1" ht="15.75" customHeight="1">
      <c r="A10" s="764" t="s">
        <v>6</v>
      </c>
      <c r="B10" s="765"/>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61"/>
    </row>
    <row r="11" spans="1:21" s="222" customFormat="1" ht="15.75" customHeight="1">
      <c r="A11" s="732" t="s">
        <v>296</v>
      </c>
      <c r="B11" s="733"/>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62"/>
    </row>
    <row r="12" spans="1:21" s="222" customFormat="1" ht="15.75" customHeight="1">
      <c r="A12" s="751" t="s">
        <v>297</v>
      </c>
      <c r="B12" s="752"/>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57" t="s">
        <v>30</v>
      </c>
      <c r="B13" s="758"/>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78</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266</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298</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47</v>
      </c>
      <c r="B18" s="68" t="s">
        <v>269</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56</v>
      </c>
      <c r="B19" s="68" t="s">
        <v>270</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57</v>
      </c>
      <c r="B20" s="68" t="s">
        <v>271</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58</v>
      </c>
      <c r="B21" s="68" t="s">
        <v>272</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59</v>
      </c>
      <c r="B22" s="68" t="s">
        <v>277</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60</v>
      </c>
      <c r="B23" s="68" t="s">
        <v>279</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61</v>
      </c>
      <c r="B24" s="68" t="s">
        <v>280</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81</v>
      </c>
      <c r="B25" s="68" t="s">
        <v>281</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82</v>
      </c>
      <c r="B26" s="68" t="s">
        <v>283</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66" t="s">
        <v>284</v>
      </c>
      <c r="C28" s="766"/>
      <c r="D28" s="766"/>
      <c r="E28" s="766"/>
      <c r="F28" s="181"/>
      <c r="G28" s="181"/>
      <c r="H28" s="181"/>
      <c r="I28" s="181"/>
      <c r="J28" s="181"/>
      <c r="K28" s="181" t="s">
        <v>149</v>
      </c>
      <c r="L28" s="182"/>
      <c r="M28" s="771" t="s">
        <v>319</v>
      </c>
      <c r="N28" s="771"/>
      <c r="O28" s="771"/>
      <c r="P28" s="771"/>
      <c r="Q28" s="771"/>
      <c r="R28" s="771"/>
      <c r="S28" s="771"/>
      <c r="T28" s="771"/>
    </row>
    <row r="29" spans="1:20" s="233" customFormat="1" ht="18.75" customHeight="1">
      <c r="A29" s="232"/>
      <c r="B29" s="756" t="s">
        <v>150</v>
      </c>
      <c r="C29" s="756"/>
      <c r="D29" s="756"/>
      <c r="E29" s="234"/>
      <c r="F29" s="183"/>
      <c r="G29" s="183"/>
      <c r="H29" s="183"/>
      <c r="I29" s="183"/>
      <c r="J29" s="183"/>
      <c r="K29" s="183"/>
      <c r="L29" s="182"/>
      <c r="M29" s="759" t="s">
        <v>308</v>
      </c>
      <c r="N29" s="759"/>
      <c r="O29" s="759"/>
      <c r="P29" s="759"/>
      <c r="Q29" s="759"/>
      <c r="R29" s="759"/>
      <c r="S29" s="759"/>
      <c r="T29" s="759"/>
    </row>
    <row r="30" spans="1:20" s="233" customFormat="1" ht="18.75">
      <c r="A30" s="184"/>
      <c r="B30" s="753"/>
      <c r="C30" s="753"/>
      <c r="D30" s="753"/>
      <c r="E30" s="186"/>
      <c r="F30" s="186"/>
      <c r="G30" s="186"/>
      <c r="H30" s="186"/>
      <c r="I30" s="186"/>
      <c r="J30" s="186"/>
      <c r="K30" s="186"/>
      <c r="L30" s="186"/>
      <c r="M30" s="754"/>
      <c r="N30" s="754"/>
      <c r="O30" s="754"/>
      <c r="P30" s="754"/>
      <c r="Q30" s="754"/>
      <c r="R30" s="754"/>
      <c r="S30" s="754"/>
      <c r="T30" s="754"/>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152</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153</v>
      </c>
      <c r="C34" s="186"/>
      <c r="D34" s="186"/>
      <c r="E34" s="186"/>
      <c r="F34" s="186"/>
      <c r="G34" s="186"/>
      <c r="H34" s="186"/>
      <c r="I34" s="186"/>
      <c r="J34" s="186"/>
      <c r="K34" s="186"/>
      <c r="L34" s="186"/>
      <c r="M34" s="186"/>
      <c r="N34" s="186"/>
      <c r="O34" s="186"/>
      <c r="P34" s="186"/>
      <c r="Q34" s="186"/>
      <c r="R34" s="186"/>
      <c r="S34" s="186"/>
      <c r="T34" s="186"/>
    </row>
    <row r="35" spans="2:20" ht="18.75" hidden="1">
      <c r="B35" s="236" t="s">
        <v>154</v>
      </c>
      <c r="C35" s="186"/>
      <c r="D35" s="186"/>
      <c r="E35" s="186"/>
      <c r="F35" s="186"/>
      <c r="G35" s="186"/>
      <c r="H35" s="186"/>
      <c r="I35" s="186"/>
      <c r="J35" s="186"/>
      <c r="K35" s="186"/>
      <c r="L35" s="186"/>
      <c r="M35" s="186"/>
      <c r="N35" s="186"/>
      <c r="O35" s="186"/>
      <c r="P35" s="186"/>
      <c r="Q35" s="186"/>
      <c r="R35" s="186"/>
      <c r="S35" s="186"/>
      <c r="T35" s="186"/>
    </row>
    <row r="36" spans="2:20" s="211" customFormat="1" ht="18.75">
      <c r="B36" s="755" t="s">
        <v>288</v>
      </c>
      <c r="C36" s="755"/>
      <c r="D36" s="755"/>
      <c r="E36" s="236"/>
      <c r="F36" s="236"/>
      <c r="G36" s="236"/>
      <c r="H36" s="236"/>
      <c r="I36" s="236"/>
      <c r="J36" s="236"/>
      <c r="K36" s="236"/>
      <c r="L36" s="236"/>
      <c r="M36" s="236"/>
      <c r="N36" s="755" t="s">
        <v>288</v>
      </c>
      <c r="O36" s="755"/>
      <c r="P36" s="755"/>
      <c r="Q36" s="755"/>
      <c r="R36" s="755"/>
      <c r="S36" s="755"/>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50" t="s">
        <v>241</v>
      </c>
      <c r="C38" s="650"/>
      <c r="D38" s="650"/>
      <c r="E38" s="210"/>
      <c r="F38" s="210"/>
      <c r="G38" s="210"/>
      <c r="H38" s="210"/>
      <c r="I38" s="182"/>
      <c r="J38" s="182"/>
      <c r="K38" s="182"/>
      <c r="L38" s="182"/>
      <c r="M38" s="651" t="s">
        <v>242</v>
      </c>
      <c r="N38" s="651"/>
      <c r="O38" s="651"/>
      <c r="P38" s="651"/>
      <c r="Q38" s="651"/>
      <c r="R38" s="651"/>
      <c r="S38" s="651"/>
      <c r="T38" s="651"/>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79" t="s">
        <v>155</v>
      </c>
      <c r="B1" s="779"/>
      <c r="C1" s="779"/>
      <c r="D1" s="238"/>
      <c r="E1" s="784" t="s">
        <v>156</v>
      </c>
      <c r="F1" s="784"/>
      <c r="G1" s="784"/>
      <c r="H1" s="784"/>
      <c r="I1" s="784"/>
      <c r="J1" s="784"/>
      <c r="K1" s="784"/>
      <c r="L1" s="784"/>
      <c r="M1" s="784"/>
      <c r="N1" s="784"/>
      <c r="O1" s="191"/>
      <c r="P1" s="774" t="s">
        <v>358</v>
      </c>
      <c r="Q1" s="774"/>
      <c r="R1" s="774"/>
      <c r="S1" s="774"/>
      <c r="T1" s="774"/>
    </row>
    <row r="2" spans="1:20" ht="15.75" customHeight="1">
      <c r="A2" s="780" t="s">
        <v>320</v>
      </c>
      <c r="B2" s="780"/>
      <c r="C2" s="780"/>
      <c r="D2" s="780"/>
      <c r="E2" s="782" t="s">
        <v>157</v>
      </c>
      <c r="F2" s="782"/>
      <c r="G2" s="782"/>
      <c r="H2" s="782"/>
      <c r="I2" s="782"/>
      <c r="J2" s="782"/>
      <c r="K2" s="782"/>
      <c r="L2" s="782"/>
      <c r="M2" s="782"/>
      <c r="N2" s="782"/>
      <c r="O2" s="194"/>
      <c r="P2" s="775" t="s">
        <v>300</v>
      </c>
      <c r="Q2" s="775"/>
      <c r="R2" s="775"/>
      <c r="S2" s="775"/>
      <c r="T2" s="775"/>
    </row>
    <row r="3" spans="1:20" ht="17.25">
      <c r="A3" s="780" t="s">
        <v>251</v>
      </c>
      <c r="B3" s="780"/>
      <c r="C3" s="780"/>
      <c r="D3" s="239"/>
      <c r="E3" s="785" t="s">
        <v>252</v>
      </c>
      <c r="F3" s="785"/>
      <c r="G3" s="785"/>
      <c r="H3" s="785"/>
      <c r="I3" s="785"/>
      <c r="J3" s="785"/>
      <c r="K3" s="785"/>
      <c r="L3" s="785"/>
      <c r="M3" s="785"/>
      <c r="N3" s="785"/>
      <c r="O3" s="194"/>
      <c r="P3" s="776" t="s">
        <v>359</v>
      </c>
      <c r="Q3" s="776"/>
      <c r="R3" s="776"/>
      <c r="S3" s="776"/>
      <c r="T3" s="776"/>
    </row>
    <row r="4" spans="1:20" ht="18.75" customHeight="1">
      <c r="A4" s="781" t="s">
        <v>253</v>
      </c>
      <c r="B4" s="781"/>
      <c r="C4" s="781"/>
      <c r="D4" s="783"/>
      <c r="E4" s="783"/>
      <c r="F4" s="783"/>
      <c r="G4" s="783"/>
      <c r="H4" s="783"/>
      <c r="I4" s="783"/>
      <c r="J4" s="783"/>
      <c r="K4" s="783"/>
      <c r="L4" s="783"/>
      <c r="M4" s="783"/>
      <c r="N4" s="783"/>
      <c r="O4" s="195"/>
      <c r="P4" s="775" t="s">
        <v>292</v>
      </c>
      <c r="Q4" s="776"/>
      <c r="R4" s="776"/>
      <c r="S4" s="776"/>
      <c r="T4" s="776"/>
    </row>
    <row r="5" spans="1:23" ht="15">
      <c r="A5" s="208"/>
      <c r="B5" s="208"/>
      <c r="C5" s="240"/>
      <c r="D5" s="240"/>
      <c r="E5" s="208"/>
      <c r="F5" s="208"/>
      <c r="G5" s="208"/>
      <c r="H5" s="208"/>
      <c r="I5" s="208"/>
      <c r="J5" s="208"/>
      <c r="K5" s="208"/>
      <c r="L5" s="208"/>
      <c r="P5" s="795" t="s">
        <v>315</v>
      </c>
      <c r="Q5" s="795"/>
      <c r="R5" s="795"/>
      <c r="S5" s="795"/>
      <c r="T5" s="795"/>
      <c r="U5" s="241"/>
      <c r="V5" s="241"/>
      <c r="W5" s="241"/>
    </row>
    <row r="6" spans="1:23" ht="29.25" customHeight="1">
      <c r="A6" s="736" t="s">
        <v>55</v>
      </c>
      <c r="B6" s="812"/>
      <c r="C6" s="807" t="s">
        <v>2</v>
      </c>
      <c r="D6" s="796" t="s">
        <v>158</v>
      </c>
      <c r="E6" s="797"/>
      <c r="F6" s="797"/>
      <c r="G6" s="797"/>
      <c r="H6" s="797"/>
      <c r="I6" s="797"/>
      <c r="J6" s="798"/>
      <c r="K6" s="801" t="s">
        <v>159</v>
      </c>
      <c r="L6" s="802"/>
      <c r="M6" s="802"/>
      <c r="N6" s="802"/>
      <c r="O6" s="802"/>
      <c r="P6" s="802"/>
      <c r="Q6" s="802"/>
      <c r="R6" s="802"/>
      <c r="S6" s="802"/>
      <c r="T6" s="803"/>
      <c r="U6" s="242"/>
      <c r="V6" s="243"/>
      <c r="W6" s="243"/>
    </row>
    <row r="7" spans="1:20" ht="19.5" customHeight="1">
      <c r="A7" s="738"/>
      <c r="B7" s="813"/>
      <c r="C7" s="808"/>
      <c r="D7" s="797" t="s">
        <v>7</v>
      </c>
      <c r="E7" s="797"/>
      <c r="F7" s="797"/>
      <c r="G7" s="797"/>
      <c r="H7" s="797"/>
      <c r="I7" s="797"/>
      <c r="J7" s="798"/>
      <c r="K7" s="804"/>
      <c r="L7" s="805"/>
      <c r="M7" s="805"/>
      <c r="N7" s="805"/>
      <c r="O7" s="805"/>
      <c r="P7" s="805"/>
      <c r="Q7" s="805"/>
      <c r="R7" s="805"/>
      <c r="S7" s="805"/>
      <c r="T7" s="806"/>
    </row>
    <row r="8" spans="1:20" ht="33" customHeight="1">
      <c r="A8" s="738"/>
      <c r="B8" s="813"/>
      <c r="C8" s="808"/>
      <c r="D8" s="788" t="s">
        <v>160</v>
      </c>
      <c r="E8" s="789"/>
      <c r="F8" s="773" t="s">
        <v>161</v>
      </c>
      <c r="G8" s="789"/>
      <c r="H8" s="773" t="s">
        <v>162</v>
      </c>
      <c r="I8" s="789"/>
      <c r="J8" s="773" t="s">
        <v>163</v>
      </c>
      <c r="K8" s="772" t="s">
        <v>164</v>
      </c>
      <c r="L8" s="772"/>
      <c r="M8" s="772"/>
      <c r="N8" s="772" t="s">
        <v>165</v>
      </c>
      <c r="O8" s="772"/>
      <c r="P8" s="772"/>
      <c r="Q8" s="773" t="s">
        <v>166</v>
      </c>
      <c r="R8" s="777" t="s">
        <v>167</v>
      </c>
      <c r="S8" s="777" t="s">
        <v>168</v>
      </c>
      <c r="T8" s="773" t="s">
        <v>169</v>
      </c>
    </row>
    <row r="9" spans="1:20" ht="18.75" customHeight="1">
      <c r="A9" s="738"/>
      <c r="B9" s="813"/>
      <c r="C9" s="808"/>
      <c r="D9" s="788" t="s">
        <v>170</v>
      </c>
      <c r="E9" s="773" t="s">
        <v>171</v>
      </c>
      <c r="F9" s="773" t="s">
        <v>170</v>
      </c>
      <c r="G9" s="773" t="s">
        <v>171</v>
      </c>
      <c r="H9" s="773" t="s">
        <v>170</v>
      </c>
      <c r="I9" s="773" t="s">
        <v>172</v>
      </c>
      <c r="J9" s="773"/>
      <c r="K9" s="772"/>
      <c r="L9" s="772"/>
      <c r="M9" s="772"/>
      <c r="N9" s="772"/>
      <c r="O9" s="772"/>
      <c r="P9" s="772"/>
      <c r="Q9" s="773"/>
      <c r="R9" s="777"/>
      <c r="S9" s="777"/>
      <c r="T9" s="773"/>
    </row>
    <row r="10" spans="1:20" ht="23.25" customHeight="1">
      <c r="A10" s="740"/>
      <c r="B10" s="814"/>
      <c r="C10" s="809"/>
      <c r="D10" s="788"/>
      <c r="E10" s="773"/>
      <c r="F10" s="773"/>
      <c r="G10" s="773"/>
      <c r="H10" s="773"/>
      <c r="I10" s="773"/>
      <c r="J10" s="773"/>
      <c r="K10" s="244" t="s">
        <v>173</v>
      </c>
      <c r="L10" s="244" t="s">
        <v>148</v>
      </c>
      <c r="M10" s="244" t="s">
        <v>174</v>
      </c>
      <c r="N10" s="244" t="s">
        <v>173</v>
      </c>
      <c r="O10" s="244" t="s">
        <v>175</v>
      </c>
      <c r="P10" s="244" t="s">
        <v>176</v>
      </c>
      <c r="Q10" s="773"/>
      <c r="R10" s="777"/>
      <c r="S10" s="777"/>
      <c r="T10" s="773"/>
    </row>
    <row r="11" spans="1:32" s="201" customFormat="1" ht="17.25" customHeight="1">
      <c r="A11" s="810" t="s">
        <v>6</v>
      </c>
      <c r="B11" s="811"/>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99" t="s">
        <v>321</v>
      </c>
      <c r="B12" s="800"/>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86" t="s">
        <v>297</v>
      </c>
      <c r="B13" s="787"/>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94" t="s">
        <v>177</v>
      </c>
      <c r="B14" s="788"/>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78</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266</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298</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269</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270</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271</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272</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277</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279</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280</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281</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283</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285</v>
      </c>
      <c r="AI28" s="190">
        <f>82/88</f>
        <v>0.9318181818181818</v>
      </c>
    </row>
    <row r="29" spans="1:20" ht="15.75" customHeight="1">
      <c r="A29" s="202"/>
      <c r="B29" s="791" t="s">
        <v>309</v>
      </c>
      <c r="C29" s="791"/>
      <c r="D29" s="791"/>
      <c r="E29" s="791"/>
      <c r="F29" s="258"/>
      <c r="G29" s="258"/>
      <c r="H29" s="258"/>
      <c r="I29" s="258"/>
      <c r="J29" s="258"/>
      <c r="K29" s="258"/>
      <c r="L29" s="206"/>
      <c r="M29" s="790" t="s">
        <v>322</v>
      </c>
      <c r="N29" s="790"/>
      <c r="O29" s="790"/>
      <c r="P29" s="790"/>
      <c r="Q29" s="790"/>
      <c r="R29" s="790"/>
      <c r="S29" s="790"/>
      <c r="T29" s="790"/>
    </row>
    <row r="30" spans="1:20" ht="18.75" customHeight="1">
      <c r="A30" s="202"/>
      <c r="B30" s="792" t="s">
        <v>150</v>
      </c>
      <c r="C30" s="792"/>
      <c r="D30" s="792"/>
      <c r="E30" s="792"/>
      <c r="F30" s="205"/>
      <c r="G30" s="205"/>
      <c r="H30" s="205"/>
      <c r="I30" s="205"/>
      <c r="J30" s="205"/>
      <c r="K30" s="205"/>
      <c r="L30" s="206"/>
      <c r="M30" s="793" t="s">
        <v>151</v>
      </c>
      <c r="N30" s="793"/>
      <c r="O30" s="793"/>
      <c r="P30" s="793"/>
      <c r="Q30" s="793"/>
      <c r="R30" s="793"/>
      <c r="S30" s="793"/>
      <c r="T30" s="793"/>
    </row>
    <row r="31" spans="1:20" ht="18.75">
      <c r="A31" s="208"/>
      <c r="B31" s="753"/>
      <c r="C31" s="753"/>
      <c r="D31" s="753"/>
      <c r="E31" s="753"/>
      <c r="F31" s="209"/>
      <c r="G31" s="209"/>
      <c r="H31" s="209"/>
      <c r="I31" s="209"/>
      <c r="J31" s="209"/>
      <c r="K31" s="209"/>
      <c r="L31" s="209"/>
      <c r="M31" s="754"/>
      <c r="N31" s="754"/>
      <c r="O31" s="754"/>
      <c r="P31" s="754"/>
      <c r="Q31" s="754"/>
      <c r="R31" s="754"/>
      <c r="S31" s="754"/>
      <c r="T31" s="754"/>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78" t="s">
        <v>288</v>
      </c>
      <c r="C33" s="778"/>
      <c r="D33" s="778"/>
      <c r="E33" s="778"/>
      <c r="F33" s="778"/>
      <c r="G33" s="259"/>
      <c r="H33" s="259"/>
      <c r="I33" s="259"/>
      <c r="J33" s="259"/>
      <c r="K33" s="259"/>
      <c r="L33" s="259"/>
      <c r="M33" s="259"/>
      <c r="N33" s="778" t="s">
        <v>288</v>
      </c>
      <c r="O33" s="778"/>
      <c r="P33" s="778"/>
      <c r="Q33" s="778"/>
      <c r="R33" s="778"/>
      <c r="S33" s="778"/>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50" t="s">
        <v>241</v>
      </c>
      <c r="C35" s="650"/>
      <c r="D35" s="650"/>
      <c r="E35" s="650"/>
      <c r="F35" s="210"/>
      <c r="G35" s="210"/>
      <c r="H35" s="210"/>
      <c r="I35" s="182"/>
      <c r="J35" s="182"/>
      <c r="K35" s="182"/>
      <c r="L35" s="182"/>
      <c r="M35" s="651" t="s">
        <v>242</v>
      </c>
      <c r="N35" s="651"/>
      <c r="O35" s="651"/>
      <c r="P35" s="651"/>
      <c r="Q35" s="651"/>
      <c r="R35" s="651"/>
      <c r="S35" s="651"/>
      <c r="T35" s="651"/>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126</v>
      </c>
    </row>
    <row r="39" spans="2:8" s="262" customFormat="1" ht="15" hidden="1">
      <c r="B39" s="263" t="s">
        <v>178</v>
      </c>
      <c r="C39" s="263"/>
      <c r="D39" s="263"/>
      <c r="E39" s="263"/>
      <c r="F39" s="263"/>
      <c r="G39" s="263"/>
      <c r="H39" s="263"/>
    </row>
    <row r="40" spans="2:8" s="264" customFormat="1" ht="15" hidden="1">
      <c r="B40" s="263" t="s">
        <v>179</v>
      </c>
      <c r="C40" s="189"/>
      <c r="D40" s="189"/>
      <c r="E40" s="189"/>
      <c r="F40" s="189"/>
      <c r="G40" s="189"/>
      <c r="H40" s="189"/>
    </row>
    <row r="41" ht="12.75" hidden="1"/>
    <row r="42" ht="12.75" hidden="1"/>
    <row r="43" ht="12.75" hidden="1"/>
    <row r="44" ht="12.75" hidden="1"/>
    <row r="45" ht="12.75" hidden="1"/>
  </sheetData>
  <sheetProtection/>
  <mergeCells count="48">
    <mergeCell ref="C6:C10"/>
    <mergeCell ref="E9:E10"/>
    <mergeCell ref="A11:B11"/>
    <mergeCell ref="F9:F10"/>
    <mergeCell ref="A6:B10"/>
    <mergeCell ref="D9:D10"/>
    <mergeCell ref="D7:J7"/>
    <mergeCell ref="F8:G8"/>
    <mergeCell ref="H9:H10"/>
    <mergeCell ref="G9:G10"/>
    <mergeCell ref="H8:I8"/>
    <mergeCell ref="I9:I10"/>
    <mergeCell ref="A14:B14"/>
    <mergeCell ref="P5:T5"/>
    <mergeCell ref="D6:J6"/>
    <mergeCell ref="A12:B12"/>
    <mergeCell ref="N8:P9"/>
    <mergeCell ref="Q8:Q10"/>
    <mergeCell ref="R8:R10"/>
    <mergeCell ref="K6:T7"/>
    <mergeCell ref="A13:B13"/>
    <mergeCell ref="D8:E8"/>
    <mergeCell ref="M35:T35"/>
    <mergeCell ref="M29:T29"/>
    <mergeCell ref="B35:E35"/>
    <mergeCell ref="B29:E29"/>
    <mergeCell ref="B30:E30"/>
    <mergeCell ref="B31:E31"/>
    <mergeCell ref="M30:T30"/>
    <mergeCell ref="M31:T31"/>
    <mergeCell ref="B33:F33"/>
    <mergeCell ref="N33:S33"/>
    <mergeCell ref="A1:C1"/>
    <mergeCell ref="A3:C3"/>
    <mergeCell ref="A4:C4"/>
    <mergeCell ref="E2:N2"/>
    <mergeCell ref="A2:D2"/>
    <mergeCell ref="D4:N4"/>
    <mergeCell ref="E1:N1"/>
    <mergeCell ref="E3:N3"/>
    <mergeCell ref="K8:M9"/>
    <mergeCell ref="J8:J10"/>
    <mergeCell ref="P1:T1"/>
    <mergeCell ref="P2:T2"/>
    <mergeCell ref="P3:T3"/>
    <mergeCell ref="P4:T4"/>
    <mergeCell ref="T8:T10"/>
    <mergeCell ref="S8:S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821" t="s">
        <v>180</v>
      </c>
      <c r="B1" s="821"/>
      <c r="C1" s="821"/>
      <c r="D1" s="824" t="s">
        <v>361</v>
      </c>
      <c r="E1" s="824"/>
      <c r="F1" s="824"/>
      <c r="G1" s="824"/>
      <c r="H1" s="824"/>
      <c r="I1" s="824"/>
      <c r="J1" s="825" t="s">
        <v>362</v>
      </c>
      <c r="K1" s="826"/>
      <c r="L1" s="826"/>
    </row>
    <row r="2" spans="1:12" ht="34.5" customHeight="1">
      <c r="A2" s="827" t="s">
        <v>323</v>
      </c>
      <c r="B2" s="827"/>
      <c r="C2" s="827"/>
      <c r="D2" s="824"/>
      <c r="E2" s="824"/>
      <c r="F2" s="824"/>
      <c r="G2" s="824"/>
      <c r="H2" s="824"/>
      <c r="I2" s="824"/>
      <c r="J2" s="828" t="s">
        <v>363</v>
      </c>
      <c r="K2" s="829"/>
      <c r="L2" s="829"/>
    </row>
    <row r="3" spans="1:12" ht="15" customHeight="1">
      <c r="A3" s="265" t="s">
        <v>253</v>
      </c>
      <c r="B3" s="174"/>
      <c r="C3" s="830"/>
      <c r="D3" s="830"/>
      <c r="E3" s="830"/>
      <c r="F3" s="830"/>
      <c r="G3" s="830"/>
      <c r="H3" s="830"/>
      <c r="I3" s="830"/>
      <c r="J3" s="822"/>
      <c r="K3" s="823"/>
      <c r="L3" s="823"/>
    </row>
    <row r="4" spans="1:12" ht="15.75" customHeight="1">
      <c r="A4" s="266"/>
      <c r="B4" s="266"/>
      <c r="C4" s="267"/>
      <c r="D4" s="267"/>
      <c r="E4" s="170"/>
      <c r="F4" s="170"/>
      <c r="G4" s="170"/>
      <c r="H4" s="268"/>
      <c r="I4" s="268"/>
      <c r="J4" s="831" t="s">
        <v>181</v>
      </c>
      <c r="K4" s="831"/>
      <c r="L4" s="831"/>
    </row>
    <row r="5" spans="1:12" s="269" customFormat="1" ht="28.5" customHeight="1">
      <c r="A5" s="816" t="s">
        <v>55</v>
      </c>
      <c r="B5" s="816"/>
      <c r="C5" s="731" t="s">
        <v>31</v>
      </c>
      <c r="D5" s="731" t="s">
        <v>182</v>
      </c>
      <c r="E5" s="731"/>
      <c r="F5" s="731"/>
      <c r="G5" s="731"/>
      <c r="H5" s="731" t="s">
        <v>183</v>
      </c>
      <c r="I5" s="731"/>
      <c r="J5" s="731" t="s">
        <v>184</v>
      </c>
      <c r="K5" s="731"/>
      <c r="L5" s="731"/>
    </row>
    <row r="6" spans="1:13" s="269" customFormat="1" ht="80.25" customHeight="1">
      <c r="A6" s="816"/>
      <c r="B6" s="816"/>
      <c r="C6" s="731"/>
      <c r="D6" s="215" t="s">
        <v>185</v>
      </c>
      <c r="E6" s="215" t="s">
        <v>186</v>
      </c>
      <c r="F6" s="215" t="s">
        <v>324</v>
      </c>
      <c r="G6" s="215" t="s">
        <v>187</v>
      </c>
      <c r="H6" s="215" t="s">
        <v>188</v>
      </c>
      <c r="I6" s="215" t="s">
        <v>189</v>
      </c>
      <c r="J6" s="215" t="s">
        <v>190</v>
      </c>
      <c r="K6" s="215" t="s">
        <v>191</v>
      </c>
      <c r="L6" s="215" t="s">
        <v>192</v>
      </c>
      <c r="M6" s="270"/>
    </row>
    <row r="7" spans="1:12" s="271" customFormat="1" ht="16.5" customHeight="1">
      <c r="A7" s="832" t="s">
        <v>6</v>
      </c>
      <c r="B7" s="832"/>
      <c r="C7" s="221">
        <v>1</v>
      </c>
      <c r="D7" s="221">
        <v>2</v>
      </c>
      <c r="E7" s="221">
        <v>3</v>
      </c>
      <c r="F7" s="221">
        <v>4</v>
      </c>
      <c r="G7" s="221">
        <v>5</v>
      </c>
      <c r="H7" s="221">
        <v>6</v>
      </c>
      <c r="I7" s="221">
        <v>7</v>
      </c>
      <c r="J7" s="221">
        <v>8</v>
      </c>
      <c r="K7" s="221">
        <v>9</v>
      </c>
      <c r="L7" s="221">
        <v>10</v>
      </c>
    </row>
    <row r="8" spans="1:12" s="271" customFormat="1" ht="16.5" customHeight="1">
      <c r="A8" s="819" t="s">
        <v>321</v>
      </c>
      <c r="B8" s="820"/>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817" t="s">
        <v>297</v>
      </c>
      <c r="B9" s="818"/>
      <c r="C9" s="224">
        <v>9</v>
      </c>
      <c r="D9" s="224">
        <v>2</v>
      </c>
      <c r="E9" s="224">
        <v>2</v>
      </c>
      <c r="F9" s="224">
        <v>0</v>
      </c>
      <c r="G9" s="224">
        <v>5</v>
      </c>
      <c r="H9" s="224">
        <v>8</v>
      </c>
      <c r="I9" s="224">
        <v>0</v>
      </c>
      <c r="J9" s="224">
        <v>8</v>
      </c>
      <c r="K9" s="224">
        <v>1</v>
      </c>
      <c r="L9" s="224">
        <v>0</v>
      </c>
    </row>
    <row r="10" spans="1:12" s="271" customFormat="1" ht="16.5" customHeight="1">
      <c r="A10" s="833" t="s">
        <v>177</v>
      </c>
      <c r="B10" s="833"/>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193</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266</v>
      </c>
      <c r="C13" s="272">
        <f aca="true" t="shared" si="3" ref="C13:C23">D13+E13+F13+G13</f>
        <v>0</v>
      </c>
      <c r="D13" s="231">
        <v>0</v>
      </c>
      <c r="E13" s="231">
        <v>0</v>
      </c>
      <c r="F13" s="231">
        <v>0</v>
      </c>
      <c r="G13" s="231">
        <v>0</v>
      </c>
      <c r="H13" s="231">
        <v>0</v>
      </c>
      <c r="I13" s="231">
        <v>0</v>
      </c>
      <c r="J13" s="273">
        <v>0</v>
      </c>
      <c r="K13" s="273">
        <v>0</v>
      </c>
      <c r="L13" s="273">
        <v>0</v>
      </c>
      <c r="AF13" s="271" t="s">
        <v>265</v>
      </c>
    </row>
    <row r="14" spans="1:37" s="271" customFormat="1" ht="16.5" customHeight="1">
      <c r="A14" s="274">
        <v>2</v>
      </c>
      <c r="B14" s="68" t="s">
        <v>298</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269</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270</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325</v>
      </c>
      <c r="C17" s="272">
        <f t="shared" si="3"/>
        <v>1</v>
      </c>
      <c r="D17" s="231">
        <v>0</v>
      </c>
      <c r="E17" s="231">
        <v>0</v>
      </c>
      <c r="F17" s="231">
        <v>0</v>
      </c>
      <c r="G17" s="231">
        <v>1</v>
      </c>
      <c r="H17" s="231">
        <v>1</v>
      </c>
      <c r="I17" s="231">
        <v>0</v>
      </c>
      <c r="J17" s="273">
        <v>1</v>
      </c>
      <c r="K17" s="273">
        <v>0</v>
      </c>
      <c r="L17" s="273">
        <v>0</v>
      </c>
      <c r="AF17" s="199" t="s">
        <v>268</v>
      </c>
    </row>
    <row r="18" spans="1:12" s="271" customFormat="1" ht="16.5" customHeight="1">
      <c r="A18" s="274">
        <v>6</v>
      </c>
      <c r="B18" s="68" t="s">
        <v>272</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277</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279</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280</v>
      </c>
      <c r="C21" s="272">
        <f t="shared" si="3"/>
        <v>0</v>
      </c>
      <c r="D21" s="231">
        <v>0</v>
      </c>
      <c r="E21" s="231">
        <v>0</v>
      </c>
      <c r="F21" s="231">
        <v>0</v>
      </c>
      <c r="G21" s="231">
        <v>0</v>
      </c>
      <c r="H21" s="231">
        <v>0</v>
      </c>
      <c r="I21" s="231">
        <v>0</v>
      </c>
      <c r="J21" s="273">
        <v>0</v>
      </c>
      <c r="K21" s="273">
        <v>0</v>
      </c>
      <c r="L21" s="273">
        <v>0</v>
      </c>
      <c r="AJ21" s="271" t="s">
        <v>273</v>
      </c>
      <c r="AK21" s="271" t="s">
        <v>274</v>
      </c>
      <c r="AL21" s="271" t="s">
        <v>275</v>
      </c>
      <c r="AM21" s="199" t="s">
        <v>276</v>
      </c>
    </row>
    <row r="22" spans="1:39" s="271" customFormat="1" ht="16.5" customHeight="1">
      <c r="A22" s="274">
        <v>10</v>
      </c>
      <c r="B22" s="68" t="s">
        <v>281</v>
      </c>
      <c r="C22" s="272">
        <f t="shared" si="3"/>
        <v>1</v>
      </c>
      <c r="D22" s="231">
        <v>0</v>
      </c>
      <c r="E22" s="231">
        <v>1</v>
      </c>
      <c r="F22" s="231">
        <v>0</v>
      </c>
      <c r="G22" s="231">
        <v>0</v>
      </c>
      <c r="H22" s="231">
        <v>1</v>
      </c>
      <c r="I22" s="231">
        <v>0</v>
      </c>
      <c r="J22" s="273">
        <v>1</v>
      </c>
      <c r="K22" s="273">
        <v>0</v>
      </c>
      <c r="L22" s="273">
        <v>0</v>
      </c>
      <c r="AM22" s="199" t="s">
        <v>278</v>
      </c>
    </row>
    <row r="23" spans="1:12" s="271" customFormat="1" ht="16.5" customHeight="1">
      <c r="A23" s="274">
        <v>11</v>
      </c>
      <c r="B23" s="68" t="s">
        <v>283</v>
      </c>
      <c r="C23" s="272">
        <f t="shared" si="3"/>
        <v>0</v>
      </c>
      <c r="D23" s="231">
        <v>0</v>
      </c>
      <c r="E23" s="231">
        <v>0</v>
      </c>
      <c r="F23" s="231">
        <v>0</v>
      </c>
      <c r="G23" s="231">
        <v>0</v>
      </c>
      <c r="H23" s="231">
        <v>0</v>
      </c>
      <c r="I23" s="231">
        <v>0</v>
      </c>
      <c r="J23" s="273">
        <v>0</v>
      </c>
      <c r="K23" s="273">
        <v>0</v>
      </c>
      <c r="L23" s="273">
        <v>0</v>
      </c>
    </row>
    <row r="24" ht="9" customHeight="1">
      <c r="AJ24" s="233" t="s">
        <v>273</v>
      </c>
    </row>
    <row r="25" spans="1:36" ht="15.75" customHeight="1">
      <c r="A25" s="766" t="s">
        <v>326</v>
      </c>
      <c r="B25" s="766"/>
      <c r="C25" s="766"/>
      <c r="D25" s="766"/>
      <c r="E25" s="182"/>
      <c r="F25" s="771" t="s">
        <v>284</v>
      </c>
      <c r="G25" s="771"/>
      <c r="H25" s="771"/>
      <c r="I25" s="771"/>
      <c r="J25" s="771"/>
      <c r="K25" s="771"/>
      <c r="L25" s="771"/>
      <c r="AJ25" s="190" t="s">
        <v>282</v>
      </c>
    </row>
    <row r="26" spans="1:44" ht="15" customHeight="1">
      <c r="A26" s="756" t="s">
        <v>150</v>
      </c>
      <c r="B26" s="756"/>
      <c r="C26" s="756"/>
      <c r="D26" s="756"/>
      <c r="E26" s="183"/>
      <c r="F26" s="759" t="s">
        <v>151</v>
      </c>
      <c r="G26" s="759"/>
      <c r="H26" s="759"/>
      <c r="I26" s="759"/>
      <c r="J26" s="759"/>
      <c r="K26" s="759"/>
      <c r="L26" s="759"/>
      <c r="AR26" s="190"/>
    </row>
    <row r="27" spans="1:12" s="170" customFormat="1" ht="18.75">
      <c r="A27" s="753"/>
      <c r="B27" s="753"/>
      <c r="C27" s="753"/>
      <c r="D27" s="753"/>
      <c r="E27" s="182"/>
      <c r="F27" s="754"/>
      <c r="G27" s="754"/>
      <c r="H27" s="754"/>
      <c r="I27" s="754"/>
      <c r="J27" s="754"/>
      <c r="K27" s="754"/>
      <c r="L27" s="754"/>
    </row>
    <row r="28" spans="1:35" ht="18">
      <c r="A28" s="187"/>
      <c r="B28" s="187"/>
      <c r="C28" s="182"/>
      <c r="D28" s="182"/>
      <c r="E28" s="182"/>
      <c r="F28" s="182"/>
      <c r="G28" s="182"/>
      <c r="H28" s="182"/>
      <c r="I28" s="182"/>
      <c r="J28" s="182"/>
      <c r="K28" s="182"/>
      <c r="L28" s="182"/>
      <c r="AG28" s="233" t="s">
        <v>285</v>
      </c>
      <c r="AI28" s="190">
        <f>82/88</f>
        <v>0.9318181818181818</v>
      </c>
    </row>
    <row r="29" spans="1:12" ht="18">
      <c r="A29" s="187"/>
      <c r="B29" s="815" t="s">
        <v>288</v>
      </c>
      <c r="C29" s="815"/>
      <c r="D29" s="182"/>
      <c r="E29" s="182"/>
      <c r="F29" s="182"/>
      <c r="G29" s="182"/>
      <c r="H29" s="815" t="s">
        <v>288</v>
      </c>
      <c r="I29" s="815"/>
      <c r="J29" s="815"/>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194</v>
      </c>
      <c r="B32" s="185"/>
      <c r="C32" s="186"/>
      <c r="D32" s="186"/>
      <c r="E32" s="186"/>
      <c r="F32" s="186"/>
      <c r="G32" s="186"/>
      <c r="H32" s="186"/>
      <c r="I32" s="186"/>
      <c r="J32" s="186"/>
      <c r="K32" s="186"/>
      <c r="L32" s="186"/>
    </row>
    <row r="33" spans="1:12" s="211" customFormat="1" ht="18.75" hidden="1">
      <c r="A33" s="237"/>
      <c r="B33" s="279" t="s">
        <v>195</v>
      </c>
      <c r="C33" s="279"/>
      <c r="D33" s="279"/>
      <c r="E33" s="236"/>
      <c r="F33" s="236"/>
      <c r="G33" s="236"/>
      <c r="H33" s="236"/>
      <c r="I33" s="236"/>
      <c r="J33" s="236"/>
      <c r="K33" s="236"/>
      <c r="L33" s="236"/>
    </row>
    <row r="34" spans="1:12" s="211" customFormat="1" ht="18.75" hidden="1">
      <c r="A34" s="237"/>
      <c r="B34" s="279" t="s">
        <v>196</v>
      </c>
      <c r="C34" s="279"/>
      <c r="D34" s="279"/>
      <c r="E34" s="279"/>
      <c r="F34" s="236"/>
      <c r="G34" s="236"/>
      <c r="H34" s="236"/>
      <c r="I34" s="236"/>
      <c r="J34" s="236"/>
      <c r="K34" s="236"/>
      <c r="L34" s="236"/>
    </row>
    <row r="35" spans="1:12" s="211" customFormat="1" ht="18.75" hidden="1">
      <c r="A35" s="237"/>
      <c r="B35" s="236" t="s">
        <v>197</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50" t="s">
        <v>241</v>
      </c>
      <c r="B37" s="650"/>
      <c r="C37" s="650"/>
      <c r="D37" s="650"/>
      <c r="E37" s="210"/>
      <c r="F37" s="651" t="s">
        <v>242</v>
      </c>
      <c r="G37" s="651"/>
      <c r="H37" s="651"/>
      <c r="I37" s="651"/>
      <c r="J37" s="651"/>
      <c r="K37" s="651"/>
      <c r="L37" s="651"/>
      <c r="M37" s="127"/>
    </row>
    <row r="38" spans="1:12" ht="18">
      <c r="A38" s="187"/>
      <c r="B38" s="187"/>
      <c r="C38" s="182"/>
      <c r="D38" s="182"/>
      <c r="E38" s="182"/>
      <c r="F38" s="182"/>
      <c r="G38" s="182"/>
      <c r="H38" s="182"/>
      <c r="I38" s="182"/>
      <c r="J38" s="182"/>
      <c r="K38" s="182"/>
      <c r="L38" s="182"/>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34" t="s">
        <v>198</v>
      </c>
      <c r="B1" s="834"/>
      <c r="C1" s="834"/>
      <c r="D1" s="824" t="s">
        <v>364</v>
      </c>
      <c r="E1" s="824"/>
      <c r="F1" s="824"/>
      <c r="G1" s="824"/>
      <c r="H1" s="824"/>
      <c r="I1" s="170"/>
      <c r="J1" s="171" t="s">
        <v>358</v>
      </c>
      <c r="K1" s="280"/>
      <c r="L1" s="280"/>
    </row>
    <row r="2" spans="1:12" ht="15.75" customHeight="1">
      <c r="A2" s="838" t="s">
        <v>299</v>
      </c>
      <c r="B2" s="838"/>
      <c r="C2" s="838"/>
      <c r="D2" s="824"/>
      <c r="E2" s="824"/>
      <c r="F2" s="824"/>
      <c r="G2" s="824"/>
      <c r="H2" s="824"/>
      <c r="I2" s="170"/>
      <c r="J2" s="281" t="s">
        <v>300</v>
      </c>
      <c r="K2" s="281"/>
      <c r="L2" s="281"/>
    </row>
    <row r="3" spans="1:12" ht="18.75" customHeight="1">
      <c r="A3" s="744" t="s">
        <v>251</v>
      </c>
      <c r="B3" s="744"/>
      <c r="C3" s="744"/>
      <c r="D3" s="167"/>
      <c r="E3" s="167"/>
      <c r="F3" s="167"/>
      <c r="G3" s="167"/>
      <c r="H3" s="167"/>
      <c r="I3" s="170"/>
      <c r="J3" s="174" t="s">
        <v>357</v>
      </c>
      <c r="K3" s="174"/>
      <c r="L3" s="174"/>
    </row>
    <row r="4" spans="1:12" ht="15.75" customHeight="1">
      <c r="A4" s="835" t="s">
        <v>327</v>
      </c>
      <c r="B4" s="835"/>
      <c r="C4" s="835"/>
      <c r="D4" s="850"/>
      <c r="E4" s="850"/>
      <c r="F4" s="850"/>
      <c r="G4" s="850"/>
      <c r="H4" s="850"/>
      <c r="I4" s="170"/>
      <c r="J4" s="282" t="s">
        <v>292</v>
      </c>
      <c r="K4" s="282"/>
      <c r="L4" s="282"/>
    </row>
    <row r="5" spans="1:12" ht="15.75">
      <c r="A5" s="839"/>
      <c r="B5" s="839"/>
      <c r="C5" s="166"/>
      <c r="D5" s="170"/>
      <c r="E5" s="170"/>
      <c r="F5" s="170"/>
      <c r="G5" s="170"/>
      <c r="H5" s="283"/>
      <c r="I5" s="851" t="s">
        <v>328</v>
      </c>
      <c r="J5" s="851"/>
      <c r="K5" s="851"/>
      <c r="L5" s="851"/>
    </row>
    <row r="6" spans="1:12" ht="18.75" customHeight="1">
      <c r="A6" s="736" t="s">
        <v>55</v>
      </c>
      <c r="B6" s="737"/>
      <c r="C6" s="846" t="s">
        <v>199</v>
      </c>
      <c r="D6" s="757" t="s">
        <v>200</v>
      </c>
      <c r="E6" s="849"/>
      <c r="F6" s="758"/>
      <c r="G6" s="757" t="s">
        <v>201</v>
      </c>
      <c r="H6" s="849"/>
      <c r="I6" s="849"/>
      <c r="J6" s="849"/>
      <c r="K6" s="849"/>
      <c r="L6" s="758"/>
    </row>
    <row r="7" spans="1:12" ht="15.75" customHeight="1">
      <c r="A7" s="738"/>
      <c r="B7" s="739"/>
      <c r="C7" s="848"/>
      <c r="D7" s="757" t="s">
        <v>7</v>
      </c>
      <c r="E7" s="849"/>
      <c r="F7" s="758"/>
      <c r="G7" s="846" t="s">
        <v>30</v>
      </c>
      <c r="H7" s="757" t="s">
        <v>7</v>
      </c>
      <c r="I7" s="849"/>
      <c r="J7" s="849"/>
      <c r="K7" s="849"/>
      <c r="L7" s="758"/>
    </row>
    <row r="8" spans="1:12" ht="14.25" customHeight="1">
      <c r="A8" s="738"/>
      <c r="B8" s="739"/>
      <c r="C8" s="848"/>
      <c r="D8" s="846" t="s">
        <v>202</v>
      </c>
      <c r="E8" s="846" t="s">
        <v>203</v>
      </c>
      <c r="F8" s="846" t="s">
        <v>204</v>
      </c>
      <c r="G8" s="848"/>
      <c r="H8" s="846" t="s">
        <v>205</v>
      </c>
      <c r="I8" s="846" t="s">
        <v>206</v>
      </c>
      <c r="J8" s="846" t="s">
        <v>207</v>
      </c>
      <c r="K8" s="846" t="s">
        <v>208</v>
      </c>
      <c r="L8" s="846" t="s">
        <v>209</v>
      </c>
    </row>
    <row r="9" spans="1:12" ht="77.25" customHeight="1">
      <c r="A9" s="740"/>
      <c r="B9" s="741"/>
      <c r="C9" s="847"/>
      <c r="D9" s="847"/>
      <c r="E9" s="847"/>
      <c r="F9" s="847"/>
      <c r="G9" s="847"/>
      <c r="H9" s="847"/>
      <c r="I9" s="847"/>
      <c r="J9" s="847"/>
      <c r="K9" s="847"/>
      <c r="L9" s="847"/>
    </row>
    <row r="10" spans="1:12" s="271" customFormat="1" ht="16.5" customHeight="1">
      <c r="A10" s="840" t="s">
        <v>6</v>
      </c>
      <c r="B10" s="841"/>
      <c r="C10" s="220">
        <v>1</v>
      </c>
      <c r="D10" s="220">
        <v>2</v>
      </c>
      <c r="E10" s="220">
        <v>3</v>
      </c>
      <c r="F10" s="220">
        <v>4</v>
      </c>
      <c r="G10" s="220">
        <v>5</v>
      </c>
      <c r="H10" s="220">
        <v>6</v>
      </c>
      <c r="I10" s="220">
        <v>7</v>
      </c>
      <c r="J10" s="220">
        <v>8</v>
      </c>
      <c r="K10" s="221" t="s">
        <v>61</v>
      </c>
      <c r="L10" s="221" t="s">
        <v>81</v>
      </c>
    </row>
    <row r="11" spans="1:12" s="271" customFormat="1" ht="16.5" customHeight="1">
      <c r="A11" s="844" t="s">
        <v>296</v>
      </c>
      <c r="B11" s="845"/>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42" t="s">
        <v>297</v>
      </c>
      <c r="B12" s="843"/>
      <c r="C12" s="224">
        <v>12</v>
      </c>
      <c r="D12" s="224">
        <v>0</v>
      </c>
      <c r="E12" s="224">
        <v>1</v>
      </c>
      <c r="F12" s="224">
        <v>11</v>
      </c>
      <c r="G12" s="224">
        <v>10</v>
      </c>
      <c r="H12" s="224">
        <v>0</v>
      </c>
      <c r="I12" s="224">
        <v>0</v>
      </c>
      <c r="J12" s="224">
        <v>0</v>
      </c>
      <c r="K12" s="224">
        <v>6</v>
      </c>
      <c r="L12" s="224">
        <v>4</v>
      </c>
    </row>
    <row r="13" spans="1:32" s="271" customFormat="1" ht="16.5" customHeight="1">
      <c r="A13" s="836" t="s">
        <v>30</v>
      </c>
      <c r="B13" s="837"/>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265</v>
      </c>
    </row>
    <row r="14" spans="1:37" s="271" customFormat="1" ht="16.5" customHeight="1">
      <c r="A14" s="274" t="s">
        <v>0</v>
      </c>
      <c r="B14" s="198" t="s">
        <v>128</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266</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267</v>
      </c>
      <c r="C17" s="226">
        <f t="shared" si="2"/>
        <v>1</v>
      </c>
      <c r="D17" s="231">
        <v>0</v>
      </c>
      <c r="E17" s="231">
        <v>0</v>
      </c>
      <c r="F17" s="231">
        <v>1</v>
      </c>
      <c r="G17" s="226">
        <f t="shared" si="1"/>
        <v>1</v>
      </c>
      <c r="H17" s="231">
        <v>0</v>
      </c>
      <c r="I17" s="231">
        <v>0</v>
      </c>
      <c r="J17" s="273">
        <v>0</v>
      </c>
      <c r="K17" s="273">
        <v>0</v>
      </c>
      <c r="L17" s="273">
        <v>1</v>
      </c>
      <c r="M17" s="285"/>
      <c r="AF17" s="199" t="s">
        <v>268</v>
      </c>
    </row>
    <row r="18" spans="1:14" s="271" customFormat="1" ht="15.75" customHeight="1">
      <c r="A18" s="200">
        <v>3</v>
      </c>
      <c r="B18" s="68" t="s">
        <v>269</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270</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271</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272</v>
      </c>
      <c r="C21" s="226">
        <f t="shared" si="2"/>
        <v>0</v>
      </c>
      <c r="D21" s="231">
        <v>0</v>
      </c>
      <c r="E21" s="231">
        <v>0</v>
      </c>
      <c r="F21" s="231">
        <v>0</v>
      </c>
      <c r="G21" s="226">
        <f t="shared" si="1"/>
        <v>0</v>
      </c>
      <c r="H21" s="231">
        <v>0</v>
      </c>
      <c r="I21" s="231">
        <v>0</v>
      </c>
      <c r="J21" s="273">
        <v>0</v>
      </c>
      <c r="K21" s="273">
        <v>0</v>
      </c>
      <c r="L21" s="273">
        <v>0</v>
      </c>
      <c r="M21" s="285"/>
      <c r="AJ21" s="271" t="s">
        <v>273</v>
      </c>
      <c r="AK21" s="271" t="s">
        <v>274</v>
      </c>
      <c r="AL21" s="271" t="s">
        <v>275</v>
      </c>
      <c r="AM21" s="199" t="s">
        <v>276</v>
      </c>
    </row>
    <row r="22" spans="1:39" s="271" customFormat="1" ht="15.75" customHeight="1">
      <c r="A22" s="200">
        <v>7</v>
      </c>
      <c r="B22" s="68" t="s">
        <v>277</v>
      </c>
      <c r="C22" s="226">
        <f t="shared" si="2"/>
        <v>0</v>
      </c>
      <c r="D22" s="231">
        <v>0</v>
      </c>
      <c r="E22" s="231">
        <v>0</v>
      </c>
      <c r="F22" s="231">
        <v>0</v>
      </c>
      <c r="G22" s="226">
        <f t="shared" si="1"/>
        <v>0</v>
      </c>
      <c r="H22" s="231">
        <v>0</v>
      </c>
      <c r="I22" s="231">
        <v>0</v>
      </c>
      <c r="J22" s="273">
        <v>0</v>
      </c>
      <c r="K22" s="273">
        <v>0</v>
      </c>
      <c r="L22" s="273">
        <v>0</v>
      </c>
      <c r="M22" s="285"/>
      <c r="N22" s="178"/>
      <c r="AM22" s="199" t="s">
        <v>278</v>
      </c>
    </row>
    <row r="23" spans="1:13" s="271" customFormat="1" ht="15.75" customHeight="1">
      <c r="A23" s="200">
        <v>8</v>
      </c>
      <c r="B23" s="68" t="s">
        <v>279</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280</v>
      </c>
      <c r="C24" s="226">
        <f t="shared" si="2"/>
        <v>0</v>
      </c>
      <c r="D24" s="231">
        <v>0</v>
      </c>
      <c r="E24" s="231">
        <v>0</v>
      </c>
      <c r="F24" s="231">
        <v>0</v>
      </c>
      <c r="G24" s="226">
        <f t="shared" si="1"/>
        <v>0</v>
      </c>
      <c r="H24" s="231">
        <v>0</v>
      </c>
      <c r="I24" s="231">
        <v>0</v>
      </c>
      <c r="J24" s="273">
        <v>0</v>
      </c>
      <c r="K24" s="273">
        <v>0</v>
      </c>
      <c r="L24" s="273">
        <v>0</v>
      </c>
      <c r="M24" s="285"/>
      <c r="AJ24" s="271" t="s">
        <v>273</v>
      </c>
    </row>
    <row r="25" spans="1:36" s="271" customFormat="1" ht="15.75" customHeight="1">
      <c r="A25" s="200">
        <v>10</v>
      </c>
      <c r="B25" s="68" t="s">
        <v>281</v>
      </c>
      <c r="C25" s="226">
        <f t="shared" si="2"/>
        <v>1</v>
      </c>
      <c r="D25" s="231">
        <v>0</v>
      </c>
      <c r="E25" s="231">
        <v>0</v>
      </c>
      <c r="F25" s="231">
        <v>1</v>
      </c>
      <c r="G25" s="226">
        <f t="shared" si="1"/>
        <v>1</v>
      </c>
      <c r="H25" s="231">
        <v>0</v>
      </c>
      <c r="I25" s="231">
        <v>0</v>
      </c>
      <c r="J25" s="273">
        <v>0</v>
      </c>
      <c r="K25" s="273">
        <v>0</v>
      </c>
      <c r="L25" s="273">
        <v>1</v>
      </c>
      <c r="M25" s="285"/>
      <c r="AJ25" s="199" t="s">
        <v>282</v>
      </c>
    </row>
    <row r="26" spans="1:44" s="271" customFormat="1" ht="15.75" customHeight="1">
      <c r="A26" s="200">
        <v>11</v>
      </c>
      <c r="B26" s="68" t="s">
        <v>283</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66" t="s">
        <v>284</v>
      </c>
      <c r="B28" s="766"/>
      <c r="C28" s="766"/>
      <c r="D28" s="766"/>
      <c r="E28" s="766"/>
      <c r="F28" s="182"/>
      <c r="G28" s="181"/>
      <c r="H28" s="294" t="s">
        <v>329</v>
      </c>
      <c r="I28" s="295"/>
      <c r="J28" s="295"/>
      <c r="K28" s="295"/>
      <c r="L28" s="295"/>
      <c r="AG28" s="233" t="s">
        <v>285</v>
      </c>
      <c r="AI28" s="190">
        <f>82/88</f>
        <v>0.9318181818181818</v>
      </c>
    </row>
    <row r="29" spans="1:12" ht="15" customHeight="1">
      <c r="A29" s="756" t="s">
        <v>4</v>
      </c>
      <c r="B29" s="756"/>
      <c r="C29" s="756"/>
      <c r="D29" s="756"/>
      <c r="E29" s="756"/>
      <c r="F29" s="182"/>
      <c r="G29" s="183"/>
      <c r="H29" s="759" t="s">
        <v>151</v>
      </c>
      <c r="I29" s="759"/>
      <c r="J29" s="759"/>
      <c r="K29" s="759"/>
      <c r="L29" s="759"/>
    </row>
    <row r="30" spans="1:14" s="170" customFormat="1" ht="18.75">
      <c r="A30" s="753"/>
      <c r="B30" s="753"/>
      <c r="C30" s="753"/>
      <c r="D30" s="753"/>
      <c r="E30" s="753"/>
      <c r="F30" s="296"/>
      <c r="G30" s="182"/>
      <c r="H30" s="754"/>
      <c r="I30" s="754"/>
      <c r="J30" s="754"/>
      <c r="K30" s="754"/>
      <c r="L30" s="754"/>
      <c r="M30" s="297"/>
      <c r="N30" s="297"/>
    </row>
    <row r="31" spans="1:12" ht="18">
      <c r="A31" s="182"/>
      <c r="B31" s="182"/>
      <c r="C31" s="182"/>
      <c r="D31" s="182"/>
      <c r="E31" s="182"/>
      <c r="F31" s="182"/>
      <c r="G31" s="182"/>
      <c r="H31" s="182"/>
      <c r="I31" s="182"/>
      <c r="J31" s="182"/>
      <c r="K31" s="182"/>
      <c r="L31" s="298"/>
    </row>
    <row r="32" spans="1:12" ht="18">
      <c r="A32" s="182"/>
      <c r="B32" s="815" t="s">
        <v>288</v>
      </c>
      <c r="C32" s="815"/>
      <c r="D32" s="815"/>
      <c r="E32" s="815"/>
      <c r="F32" s="182"/>
      <c r="G32" s="182"/>
      <c r="H32" s="182"/>
      <c r="I32" s="815" t="s">
        <v>288</v>
      </c>
      <c r="J32" s="815"/>
      <c r="K32" s="815"/>
      <c r="L32" s="298"/>
    </row>
    <row r="33" spans="1:12" ht="10.5" customHeight="1">
      <c r="A33" s="182"/>
      <c r="B33" s="182"/>
      <c r="C33" s="299" t="s">
        <v>287</v>
      </c>
      <c r="D33" s="299"/>
      <c r="E33" s="299"/>
      <c r="F33" s="299"/>
      <c r="G33" s="299"/>
      <c r="H33" s="299"/>
      <c r="I33" s="299"/>
      <c r="J33" s="300" t="s">
        <v>287</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52" t="s">
        <v>210</v>
      </c>
      <c r="C40" s="852"/>
      <c r="D40" s="852"/>
      <c r="E40" s="852"/>
      <c r="F40" s="852"/>
      <c r="G40" s="303"/>
      <c r="H40" s="301"/>
      <c r="I40" s="301"/>
      <c r="J40" s="301"/>
      <c r="K40" s="301"/>
      <c r="L40" s="301"/>
      <c r="M40" s="265"/>
      <c r="N40" s="265"/>
      <c r="O40" s="265"/>
      <c r="P40" s="265"/>
    </row>
    <row r="41" spans="1:12" ht="12.75" customHeight="1" hidden="1">
      <c r="A41" s="182"/>
      <c r="B41" s="279" t="s">
        <v>211</v>
      </c>
      <c r="C41" s="304"/>
      <c r="D41" s="304"/>
      <c r="E41" s="304"/>
      <c r="F41" s="304"/>
      <c r="G41" s="182"/>
      <c r="H41" s="301"/>
      <c r="I41" s="301"/>
      <c r="J41" s="301"/>
      <c r="K41" s="301"/>
      <c r="L41" s="301"/>
    </row>
    <row r="42" spans="1:12" ht="12.75" customHeight="1" hidden="1">
      <c r="A42" s="182"/>
      <c r="B42" s="236" t="s">
        <v>212</v>
      </c>
      <c r="C42" s="304"/>
      <c r="D42" s="304"/>
      <c r="E42" s="304"/>
      <c r="F42" s="304"/>
      <c r="G42" s="182"/>
      <c r="H42" s="301"/>
      <c r="I42" s="301"/>
      <c r="J42" s="301"/>
      <c r="K42" s="301"/>
      <c r="L42" s="301"/>
    </row>
    <row r="43" spans="1:12" ht="18.75">
      <c r="A43" s="650" t="s">
        <v>330</v>
      </c>
      <c r="B43" s="650"/>
      <c r="C43" s="650"/>
      <c r="D43" s="650"/>
      <c r="E43" s="650"/>
      <c r="F43" s="182"/>
      <c r="G43" s="301"/>
      <c r="H43" s="651" t="s">
        <v>242</v>
      </c>
      <c r="I43" s="651"/>
      <c r="J43" s="651"/>
      <c r="K43" s="651"/>
      <c r="L43" s="651"/>
    </row>
    <row r="44" spans="1:12" ht="12.75" customHeight="1">
      <c r="A44" s="182"/>
      <c r="B44" s="182"/>
      <c r="C44" s="182"/>
      <c r="D44" s="182"/>
      <c r="E44" s="182"/>
      <c r="F44" s="182"/>
      <c r="G44" s="182"/>
      <c r="H44" s="301"/>
      <c r="I44" s="301"/>
      <c r="J44" s="301"/>
      <c r="K44" s="301"/>
      <c r="L44" s="301"/>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47" t="s">
        <v>213</v>
      </c>
      <c r="B1" s="747"/>
      <c r="C1" s="747"/>
      <c r="D1" s="747"/>
      <c r="E1" s="306"/>
      <c r="F1" s="742" t="s">
        <v>365</v>
      </c>
      <c r="G1" s="742"/>
      <c r="H1" s="742"/>
      <c r="I1" s="742"/>
      <c r="J1" s="742"/>
      <c r="K1" s="742"/>
      <c r="L1" s="742"/>
      <c r="M1" s="742"/>
      <c r="N1" s="742"/>
      <c r="O1" s="742"/>
      <c r="P1" s="307" t="s">
        <v>289</v>
      </c>
      <c r="Q1" s="308"/>
      <c r="R1" s="308"/>
      <c r="S1" s="308"/>
      <c r="T1" s="308"/>
    </row>
    <row r="2" spans="1:20" s="177" customFormat="1" ht="20.25" customHeight="1">
      <c r="A2" s="870" t="s">
        <v>299</v>
      </c>
      <c r="B2" s="870"/>
      <c r="C2" s="870"/>
      <c r="D2" s="870"/>
      <c r="E2" s="306"/>
      <c r="F2" s="742"/>
      <c r="G2" s="742"/>
      <c r="H2" s="742"/>
      <c r="I2" s="742"/>
      <c r="J2" s="742"/>
      <c r="K2" s="742"/>
      <c r="L2" s="742"/>
      <c r="M2" s="742"/>
      <c r="N2" s="742"/>
      <c r="O2" s="742"/>
      <c r="P2" s="308" t="s">
        <v>331</v>
      </c>
      <c r="Q2" s="308"/>
      <c r="R2" s="308"/>
      <c r="S2" s="308"/>
      <c r="T2" s="308"/>
    </row>
    <row r="3" spans="1:20" s="177" customFormat="1" ht="15" customHeight="1">
      <c r="A3" s="870" t="s">
        <v>251</v>
      </c>
      <c r="B3" s="870"/>
      <c r="C3" s="870"/>
      <c r="D3" s="870"/>
      <c r="E3" s="306"/>
      <c r="F3" s="742"/>
      <c r="G3" s="742"/>
      <c r="H3" s="742"/>
      <c r="I3" s="742"/>
      <c r="J3" s="742"/>
      <c r="K3" s="742"/>
      <c r="L3" s="742"/>
      <c r="M3" s="742"/>
      <c r="N3" s="742"/>
      <c r="O3" s="742"/>
      <c r="P3" s="307" t="s">
        <v>357</v>
      </c>
      <c r="Q3" s="307"/>
      <c r="R3" s="307"/>
      <c r="S3" s="309"/>
      <c r="T3" s="309"/>
    </row>
    <row r="4" spans="1:20" s="177" customFormat="1" ht="15.75" customHeight="1">
      <c r="A4" s="869" t="s">
        <v>332</v>
      </c>
      <c r="B4" s="869"/>
      <c r="C4" s="869"/>
      <c r="D4" s="869"/>
      <c r="E4" s="307"/>
      <c r="F4" s="742"/>
      <c r="G4" s="742"/>
      <c r="H4" s="742"/>
      <c r="I4" s="742"/>
      <c r="J4" s="742"/>
      <c r="K4" s="742"/>
      <c r="L4" s="742"/>
      <c r="M4" s="742"/>
      <c r="N4" s="742"/>
      <c r="O4" s="742"/>
      <c r="P4" s="308" t="s">
        <v>301</v>
      </c>
      <c r="Q4" s="307"/>
      <c r="R4" s="307"/>
      <c r="S4" s="309"/>
      <c r="T4" s="309"/>
    </row>
    <row r="5" spans="1:18" s="177" customFormat="1" ht="24" customHeight="1">
      <c r="A5" s="310"/>
      <c r="B5" s="310"/>
      <c r="C5" s="310"/>
      <c r="F5" s="871"/>
      <c r="G5" s="871"/>
      <c r="H5" s="871"/>
      <c r="I5" s="871"/>
      <c r="J5" s="871"/>
      <c r="K5" s="871"/>
      <c r="L5" s="871"/>
      <c r="M5" s="871"/>
      <c r="N5" s="871"/>
      <c r="O5" s="871"/>
      <c r="P5" s="311" t="s">
        <v>333</v>
      </c>
      <c r="Q5" s="312"/>
      <c r="R5" s="312"/>
    </row>
    <row r="6" spans="1:20" s="313" customFormat="1" ht="21.75" customHeight="1">
      <c r="A6" s="854" t="s">
        <v>55</v>
      </c>
      <c r="B6" s="855"/>
      <c r="C6" s="750" t="s">
        <v>31</v>
      </c>
      <c r="D6" s="734"/>
      <c r="E6" s="750" t="s">
        <v>7</v>
      </c>
      <c r="F6" s="860"/>
      <c r="G6" s="860"/>
      <c r="H6" s="860"/>
      <c r="I6" s="860"/>
      <c r="J6" s="860"/>
      <c r="K6" s="860"/>
      <c r="L6" s="860"/>
      <c r="M6" s="860"/>
      <c r="N6" s="860"/>
      <c r="O6" s="860"/>
      <c r="P6" s="860"/>
      <c r="Q6" s="860"/>
      <c r="R6" s="860"/>
      <c r="S6" s="860"/>
      <c r="T6" s="734"/>
    </row>
    <row r="7" spans="1:21" s="313" customFormat="1" ht="22.5" customHeight="1">
      <c r="A7" s="856"/>
      <c r="B7" s="857"/>
      <c r="C7" s="767" t="s">
        <v>334</v>
      </c>
      <c r="D7" s="767" t="s">
        <v>335</v>
      </c>
      <c r="E7" s="750" t="s">
        <v>214</v>
      </c>
      <c r="F7" s="872"/>
      <c r="G7" s="872"/>
      <c r="H7" s="872"/>
      <c r="I7" s="872"/>
      <c r="J7" s="872"/>
      <c r="K7" s="872"/>
      <c r="L7" s="873"/>
      <c r="M7" s="750" t="s">
        <v>336</v>
      </c>
      <c r="N7" s="860"/>
      <c r="O7" s="860"/>
      <c r="P7" s="860"/>
      <c r="Q7" s="860"/>
      <c r="R7" s="860"/>
      <c r="S7" s="860"/>
      <c r="T7" s="734"/>
      <c r="U7" s="314"/>
    </row>
    <row r="8" spans="1:20" s="313" customFormat="1" ht="42.75" customHeight="1">
      <c r="A8" s="856"/>
      <c r="B8" s="857"/>
      <c r="C8" s="768"/>
      <c r="D8" s="768"/>
      <c r="E8" s="731" t="s">
        <v>337</v>
      </c>
      <c r="F8" s="731"/>
      <c r="G8" s="750" t="s">
        <v>338</v>
      </c>
      <c r="H8" s="860"/>
      <c r="I8" s="860"/>
      <c r="J8" s="860"/>
      <c r="K8" s="860"/>
      <c r="L8" s="734"/>
      <c r="M8" s="731" t="s">
        <v>339</v>
      </c>
      <c r="N8" s="731"/>
      <c r="O8" s="750" t="s">
        <v>338</v>
      </c>
      <c r="P8" s="860"/>
      <c r="Q8" s="860"/>
      <c r="R8" s="860"/>
      <c r="S8" s="860"/>
      <c r="T8" s="734"/>
    </row>
    <row r="9" spans="1:20" s="313" customFormat="1" ht="35.25" customHeight="1">
      <c r="A9" s="856"/>
      <c r="B9" s="857"/>
      <c r="C9" s="768"/>
      <c r="D9" s="768"/>
      <c r="E9" s="767" t="s">
        <v>215</v>
      </c>
      <c r="F9" s="767" t="s">
        <v>216</v>
      </c>
      <c r="G9" s="858" t="s">
        <v>217</v>
      </c>
      <c r="H9" s="859"/>
      <c r="I9" s="858" t="s">
        <v>218</v>
      </c>
      <c r="J9" s="859"/>
      <c r="K9" s="858" t="s">
        <v>219</v>
      </c>
      <c r="L9" s="859"/>
      <c r="M9" s="767" t="s">
        <v>220</v>
      </c>
      <c r="N9" s="767" t="s">
        <v>216</v>
      </c>
      <c r="O9" s="858" t="s">
        <v>217</v>
      </c>
      <c r="P9" s="859"/>
      <c r="Q9" s="858" t="s">
        <v>221</v>
      </c>
      <c r="R9" s="859"/>
      <c r="S9" s="858" t="s">
        <v>222</v>
      </c>
      <c r="T9" s="859"/>
    </row>
    <row r="10" spans="1:20" s="313" customFormat="1" ht="25.5" customHeight="1">
      <c r="A10" s="858"/>
      <c r="B10" s="859"/>
      <c r="C10" s="769"/>
      <c r="D10" s="769"/>
      <c r="E10" s="769"/>
      <c r="F10" s="769"/>
      <c r="G10" s="215" t="s">
        <v>220</v>
      </c>
      <c r="H10" s="215" t="s">
        <v>216</v>
      </c>
      <c r="I10" s="219" t="s">
        <v>220</v>
      </c>
      <c r="J10" s="215" t="s">
        <v>216</v>
      </c>
      <c r="K10" s="219" t="s">
        <v>220</v>
      </c>
      <c r="L10" s="215" t="s">
        <v>216</v>
      </c>
      <c r="M10" s="769"/>
      <c r="N10" s="769"/>
      <c r="O10" s="215" t="s">
        <v>220</v>
      </c>
      <c r="P10" s="215" t="s">
        <v>216</v>
      </c>
      <c r="Q10" s="219" t="s">
        <v>220</v>
      </c>
      <c r="R10" s="215" t="s">
        <v>216</v>
      </c>
      <c r="S10" s="219" t="s">
        <v>220</v>
      </c>
      <c r="T10" s="215" t="s">
        <v>216</v>
      </c>
    </row>
    <row r="11" spans="1:32" s="222" customFormat="1" ht="12.75">
      <c r="A11" s="861" t="s">
        <v>6</v>
      </c>
      <c r="B11" s="862"/>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265</v>
      </c>
    </row>
    <row r="12" spans="1:20" s="222" customFormat="1" ht="20.25" customHeight="1">
      <c r="A12" s="863" t="s">
        <v>321</v>
      </c>
      <c r="B12" s="864"/>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67" t="s">
        <v>297</v>
      </c>
      <c r="B13" s="868"/>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65" t="s">
        <v>30</v>
      </c>
      <c r="B14" s="866"/>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128</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266</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268</v>
      </c>
    </row>
    <row r="18" spans="1:20" s="178" customFormat="1" ht="15.75" customHeight="1">
      <c r="A18" s="200">
        <v>2</v>
      </c>
      <c r="B18" s="68" t="s">
        <v>298</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269</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270</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271</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273</v>
      </c>
      <c r="AK21" s="178" t="s">
        <v>274</v>
      </c>
      <c r="AL21" s="178" t="s">
        <v>275</v>
      </c>
      <c r="AM21" s="199" t="s">
        <v>276</v>
      </c>
    </row>
    <row r="22" spans="1:39" s="178" customFormat="1" ht="15.75" customHeight="1">
      <c r="A22" s="200">
        <v>6</v>
      </c>
      <c r="B22" s="68" t="s">
        <v>272</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278</v>
      </c>
    </row>
    <row r="23" spans="1:20" s="178" customFormat="1" ht="15.75" customHeight="1">
      <c r="A23" s="200">
        <v>7</v>
      </c>
      <c r="B23" s="68" t="s">
        <v>277</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279</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273</v>
      </c>
    </row>
    <row r="25" spans="1:36" s="178" customFormat="1" ht="15.75" customHeight="1">
      <c r="A25" s="200">
        <v>9</v>
      </c>
      <c r="B25" s="68" t="s">
        <v>280</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282</v>
      </c>
    </row>
    <row r="26" spans="1:44" s="178" customFormat="1" ht="15.75" customHeight="1">
      <c r="A26" s="200">
        <v>10</v>
      </c>
      <c r="B26" s="68" t="s">
        <v>281</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283</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285</v>
      </c>
      <c r="AI28" s="190">
        <f>82/88</f>
        <v>0.9318181818181818</v>
      </c>
    </row>
    <row r="29" spans="1:20" ht="15.75" customHeight="1">
      <c r="A29" s="180"/>
      <c r="B29" s="766" t="s">
        <v>284</v>
      </c>
      <c r="C29" s="766"/>
      <c r="D29" s="766"/>
      <c r="E29" s="766"/>
      <c r="F29" s="766"/>
      <c r="G29" s="766"/>
      <c r="H29" s="181"/>
      <c r="I29" s="181"/>
      <c r="J29" s="182"/>
      <c r="K29" s="181"/>
      <c r="L29" s="771" t="s">
        <v>284</v>
      </c>
      <c r="M29" s="771"/>
      <c r="N29" s="771"/>
      <c r="O29" s="771"/>
      <c r="P29" s="771"/>
      <c r="Q29" s="771"/>
      <c r="R29" s="771"/>
      <c r="S29" s="771"/>
      <c r="T29" s="771"/>
    </row>
    <row r="30" spans="1:20" ht="15" customHeight="1">
      <c r="A30" s="180"/>
      <c r="B30" s="756" t="s">
        <v>35</v>
      </c>
      <c r="C30" s="756"/>
      <c r="D30" s="756"/>
      <c r="E30" s="756"/>
      <c r="F30" s="756"/>
      <c r="G30" s="756"/>
      <c r="H30" s="183"/>
      <c r="I30" s="183"/>
      <c r="J30" s="183"/>
      <c r="K30" s="183"/>
      <c r="L30" s="759" t="s">
        <v>240</v>
      </c>
      <c r="M30" s="759"/>
      <c r="N30" s="759"/>
      <c r="O30" s="759"/>
      <c r="P30" s="759"/>
      <c r="Q30" s="759"/>
      <c r="R30" s="759"/>
      <c r="S30" s="759"/>
      <c r="T30" s="759"/>
    </row>
    <row r="31" spans="1:20" s="320" customFormat="1" ht="18.75">
      <c r="A31" s="318"/>
      <c r="B31" s="753"/>
      <c r="C31" s="753"/>
      <c r="D31" s="753"/>
      <c r="E31" s="753"/>
      <c r="F31" s="753"/>
      <c r="G31" s="319"/>
      <c r="H31" s="319"/>
      <c r="I31" s="319"/>
      <c r="J31" s="319"/>
      <c r="K31" s="319"/>
      <c r="L31" s="754"/>
      <c r="M31" s="754"/>
      <c r="N31" s="754"/>
      <c r="O31" s="754"/>
      <c r="P31" s="754"/>
      <c r="Q31" s="754"/>
      <c r="R31" s="754"/>
      <c r="S31" s="754"/>
      <c r="T31" s="754"/>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53" t="s">
        <v>288</v>
      </c>
      <c r="C33" s="853"/>
      <c r="D33" s="853"/>
      <c r="E33" s="853"/>
      <c r="F33" s="853"/>
      <c r="G33" s="321"/>
      <c r="H33" s="321"/>
      <c r="I33" s="321"/>
      <c r="J33" s="321"/>
      <c r="K33" s="321"/>
      <c r="L33" s="321"/>
      <c r="M33" s="321"/>
      <c r="N33" s="321"/>
      <c r="O33" s="853" t="s">
        <v>288</v>
      </c>
      <c r="P33" s="853"/>
      <c r="Q33" s="853"/>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210</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211</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223</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50" t="s">
        <v>241</v>
      </c>
      <c r="C39" s="650"/>
      <c r="D39" s="650"/>
      <c r="E39" s="650"/>
      <c r="F39" s="650"/>
      <c r="G39" s="650"/>
      <c r="H39" s="182"/>
      <c r="I39" s="182"/>
      <c r="J39" s="182"/>
      <c r="K39" s="182"/>
      <c r="L39" s="651" t="s">
        <v>242</v>
      </c>
      <c r="M39" s="651"/>
      <c r="N39" s="651"/>
      <c r="O39" s="651"/>
      <c r="P39" s="651"/>
      <c r="Q39" s="651"/>
      <c r="R39" s="651"/>
      <c r="S39" s="651"/>
      <c r="T39" s="651"/>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L30:T30"/>
    <mergeCell ref="F5:O5"/>
    <mergeCell ref="E8:F8"/>
    <mergeCell ref="M8:N8"/>
    <mergeCell ref="E7:L7"/>
    <mergeCell ref="E6:T6"/>
    <mergeCell ref="M7:T7"/>
    <mergeCell ref="S9:T9"/>
    <mergeCell ref="A4:D4"/>
    <mergeCell ref="A3:D3"/>
    <mergeCell ref="G9:H9"/>
    <mergeCell ref="O8:T8"/>
    <mergeCell ref="F1:O4"/>
    <mergeCell ref="A1:D1"/>
    <mergeCell ref="O9:P9"/>
    <mergeCell ref="M9:M10"/>
    <mergeCell ref="A2:D2"/>
    <mergeCell ref="C6:D6"/>
    <mergeCell ref="B31:F31"/>
    <mergeCell ref="A11:B11"/>
    <mergeCell ref="A12:B12"/>
    <mergeCell ref="B29:G29"/>
    <mergeCell ref="A14:B14"/>
    <mergeCell ref="A13:B13"/>
    <mergeCell ref="C7:C10"/>
    <mergeCell ref="N9:N10"/>
    <mergeCell ref="Q9:R9"/>
    <mergeCell ref="D7:D10"/>
    <mergeCell ref="I9:J9"/>
    <mergeCell ref="K9:L9"/>
    <mergeCell ref="G8:L8"/>
    <mergeCell ref="B33:F33"/>
    <mergeCell ref="F9:F10"/>
    <mergeCell ref="E9:E10"/>
    <mergeCell ref="L39:T39"/>
    <mergeCell ref="L29:T29"/>
    <mergeCell ref="B39:G39"/>
    <mergeCell ref="B30:G30"/>
    <mergeCell ref="O33:Q33"/>
    <mergeCell ref="A6:B10"/>
    <mergeCell ref="L31:T31"/>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2017-12-05T02:57:58Z</cp:lastPrinted>
  <dcterms:created xsi:type="dcterms:W3CDTF">2004-03-07T02:36:29Z</dcterms:created>
  <dcterms:modified xsi:type="dcterms:W3CDTF">2017-12-18T09:16:23Z</dcterms:modified>
  <cp:category/>
  <cp:version/>
  <cp:contentType/>
  <cp:contentStatus/>
</cp:coreProperties>
</file>